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Documents\SEMINARIO DE GRADO ESCUELA DE CIENCIAS CONTABLES\EJERCICIO HECHO EN CLASE\"/>
    </mc:Choice>
  </mc:AlternateContent>
  <bookViews>
    <workbookView xWindow="0" yWindow="0" windowWidth="19200" windowHeight="7755" firstSheet="4" activeTab="9"/>
  </bookViews>
  <sheets>
    <sheet name="BASES DE CALCULO" sheetId="1" r:id="rId1"/>
    <sheet name="COSTOS DE PRODUCCION" sheetId="2" r:id="rId2"/>
    <sheet name="MANO DE OBRA" sheetId="6" r:id="rId3"/>
    <sheet name="ACTIVOS" sheetId="7" r:id="rId4"/>
    <sheet name="HOJA 5" sheetId="8" r:id="rId5"/>
    <sheet name="HOJA 6" sheetId="10" r:id="rId6"/>
    <sheet name="Hoja 7" sheetId="11" r:id="rId7"/>
    <sheet name="Hoja8" sheetId="12" r:id="rId8"/>
    <sheet name="Hoja 9" sheetId="13" r:id="rId9"/>
    <sheet name="Hoja 10" sheetId="14" r:id="rId10"/>
    <sheet name="Hoja 11" sheetId="15" r:id="rId11"/>
    <sheet name="Hoja 12" sheetId="16" r:id="rId12"/>
    <sheet name="Hoja 13" sheetId="17" r:id="rId13"/>
  </sheets>
  <externalReferences>
    <externalReference r:id="rId14"/>
  </externalReferences>
  <calcPr calcId="152511"/>
</workbook>
</file>

<file path=xl/calcChain.xml><?xml version="1.0" encoding="utf-8"?>
<calcChain xmlns="http://schemas.openxmlformats.org/spreadsheetml/2006/main">
  <c r="K22" i="14" l="1"/>
  <c r="K20" i="14"/>
  <c r="K18" i="14"/>
  <c r="K25" i="14" s="1"/>
  <c r="K17" i="14"/>
  <c r="K11" i="14"/>
  <c r="K10" i="14"/>
  <c r="J9" i="14"/>
  <c r="K8" i="14"/>
  <c r="J7" i="14"/>
  <c r="J5" i="14"/>
  <c r="J4" i="14"/>
  <c r="I22" i="14"/>
  <c r="I18" i="14"/>
  <c r="I20" i="14"/>
  <c r="H31" i="14"/>
  <c r="H30" i="14"/>
  <c r="H29" i="14"/>
  <c r="H28" i="14"/>
  <c r="I16" i="14"/>
  <c r="I15" i="14"/>
  <c r="I14" i="14"/>
  <c r="H13" i="14"/>
  <c r="I12" i="14"/>
  <c r="F16" i="14"/>
  <c r="F15" i="14"/>
  <c r="F14" i="14"/>
  <c r="F12" i="14"/>
  <c r="G13" i="14"/>
  <c r="G11" i="14"/>
  <c r="G10" i="14"/>
  <c r="F9" i="14"/>
  <c r="G8" i="14"/>
  <c r="F7" i="14"/>
  <c r="F4" i="14"/>
  <c r="D11" i="14"/>
  <c r="D16" i="14"/>
  <c r="D15" i="14"/>
  <c r="D14" i="14"/>
  <c r="E13" i="14"/>
  <c r="D12" i="14"/>
  <c r="E10" i="14"/>
  <c r="E8" i="14"/>
  <c r="D5" i="14"/>
  <c r="E5" i="14"/>
  <c r="E4" i="14"/>
  <c r="D4" i="14"/>
  <c r="C11" i="14"/>
  <c r="B9" i="14"/>
  <c r="B7" i="14"/>
  <c r="J25" i="14"/>
  <c r="H25" i="14"/>
  <c r="D25" i="14" l="1"/>
  <c r="E25" i="14"/>
  <c r="C41" i="13" l="1"/>
  <c r="C40" i="13"/>
  <c r="C39" i="13"/>
  <c r="B38" i="13"/>
  <c r="B37" i="13"/>
  <c r="B36" i="13"/>
  <c r="B34" i="13"/>
  <c r="B25" i="13"/>
  <c r="B24" i="13"/>
  <c r="C26" i="13" s="1"/>
  <c r="M48" i="8"/>
  <c r="C21" i="13"/>
  <c r="B20" i="13"/>
  <c r="C17" i="13"/>
  <c r="C16" i="13"/>
  <c r="B15" i="13"/>
  <c r="C18" i="13" s="1"/>
  <c r="C12" i="13"/>
  <c r="C11" i="13"/>
  <c r="B10" i="13"/>
  <c r="B7" i="13"/>
  <c r="B33" i="13" s="1"/>
  <c r="C5" i="13"/>
  <c r="B4" i="13"/>
  <c r="B29" i="13" s="1"/>
  <c r="P49" i="8"/>
  <c r="P48" i="8"/>
  <c r="P47" i="8"/>
  <c r="P50" i="8" s="1"/>
  <c r="M49" i="8"/>
  <c r="M47" i="8"/>
  <c r="M50" i="8" s="1"/>
  <c r="J49" i="8"/>
  <c r="J48" i="8"/>
  <c r="J47" i="8"/>
  <c r="J50" i="8" s="1"/>
  <c r="G49" i="8"/>
  <c r="G48" i="8"/>
  <c r="G47" i="8"/>
  <c r="G50" i="8" s="1"/>
  <c r="D50" i="8"/>
  <c r="D48" i="8"/>
  <c r="D49" i="8"/>
  <c r="D47" i="8"/>
  <c r="O48" i="8"/>
  <c r="O49" i="8"/>
  <c r="O47" i="8"/>
  <c r="L48" i="8"/>
  <c r="L49" i="8"/>
  <c r="L47" i="8"/>
  <c r="I48" i="8"/>
  <c r="I49" i="8"/>
  <c r="I47" i="8"/>
  <c r="F48" i="8"/>
  <c r="F49" i="8"/>
  <c r="F47" i="8"/>
  <c r="C48" i="8"/>
  <c r="C49" i="8"/>
  <c r="C47" i="8"/>
  <c r="B31" i="12"/>
  <c r="B30" i="12"/>
  <c r="J30" i="12"/>
  <c r="I30" i="12"/>
  <c r="H30" i="12"/>
  <c r="H31" i="12"/>
  <c r="I31" i="12" s="1"/>
  <c r="J31" i="12" s="1"/>
  <c r="J29" i="12"/>
  <c r="I29" i="12"/>
  <c r="H29" i="12"/>
  <c r="H27" i="12"/>
  <c r="J28" i="12"/>
  <c r="G30" i="12"/>
  <c r="G31" i="12"/>
  <c r="G32" i="12"/>
  <c r="G33" i="12"/>
  <c r="G29" i="12"/>
  <c r="I23" i="12"/>
  <c r="B26" i="12"/>
  <c r="B24" i="12"/>
  <c r="D46" i="7"/>
  <c r="D29" i="7"/>
  <c r="D30" i="7"/>
  <c r="D31" i="7"/>
  <c r="D32" i="7"/>
  <c r="D33" i="7"/>
  <c r="D34" i="7"/>
  <c r="D35" i="7"/>
  <c r="D36" i="7"/>
  <c r="D37" i="7"/>
  <c r="D38" i="7"/>
  <c r="D39" i="7"/>
  <c r="D40" i="7"/>
  <c r="D41" i="7"/>
  <c r="D42" i="7"/>
  <c r="D43" i="7"/>
  <c r="D44" i="7"/>
  <c r="G44" i="7" s="1"/>
  <c r="D45" i="7"/>
  <c r="D28" i="7"/>
  <c r="D26" i="7"/>
  <c r="D5" i="7"/>
  <c r="D6" i="7"/>
  <c r="D7" i="7"/>
  <c r="D8" i="7"/>
  <c r="D9" i="7"/>
  <c r="D10" i="7"/>
  <c r="D11" i="7"/>
  <c r="D12" i="7"/>
  <c r="D13" i="7"/>
  <c r="D14" i="7"/>
  <c r="D15" i="7"/>
  <c r="D16" i="7"/>
  <c r="D17" i="7"/>
  <c r="D18" i="7"/>
  <c r="D19" i="7"/>
  <c r="D20" i="7"/>
  <c r="D21" i="7"/>
  <c r="D22" i="7"/>
  <c r="D23" i="7"/>
  <c r="D24" i="7"/>
  <c r="D25" i="7"/>
  <c r="D4" i="7"/>
  <c r="D14" i="12"/>
  <c r="C36" i="8"/>
  <c r="D36" i="8"/>
  <c r="E36" i="8"/>
  <c r="F36" i="8"/>
  <c r="B36" i="8"/>
  <c r="C26" i="8"/>
  <c r="D26" i="8"/>
  <c r="E26" i="8"/>
  <c r="F26" i="8"/>
  <c r="B26" i="8"/>
  <c r="C14" i="8"/>
  <c r="D14" i="8"/>
  <c r="E14" i="8"/>
  <c r="F14" i="8"/>
  <c r="G69" i="7"/>
  <c r="H69" i="7"/>
  <c r="I69" i="7"/>
  <c r="J69" i="7"/>
  <c r="K69" i="7"/>
  <c r="G70" i="7"/>
  <c r="H70" i="7"/>
  <c r="I70" i="7"/>
  <c r="J70" i="7"/>
  <c r="K70" i="7"/>
  <c r="H68" i="7"/>
  <c r="I68" i="7"/>
  <c r="J68" i="7"/>
  <c r="K68" i="7"/>
  <c r="G68" i="7"/>
  <c r="H71" i="7"/>
  <c r="I71" i="7"/>
  <c r="J71" i="7"/>
  <c r="K71" i="7"/>
  <c r="G71" i="7"/>
  <c r="B74" i="7"/>
  <c r="F71" i="7"/>
  <c r="B67" i="7"/>
  <c r="B59" i="7"/>
  <c r="B75" i="7" s="1"/>
  <c r="B77" i="7" s="1"/>
  <c r="C9" i="12"/>
  <c r="D9" i="12" s="1"/>
  <c r="C5" i="12"/>
  <c r="D5" i="12" s="1"/>
  <c r="E54" i="10"/>
  <c r="D54" i="10"/>
  <c r="C54" i="10"/>
  <c r="B54" i="10"/>
  <c r="D53" i="10"/>
  <c r="E53" i="10" s="1"/>
  <c r="E48" i="10"/>
  <c r="D48" i="10"/>
  <c r="C48" i="10"/>
  <c r="B48" i="10"/>
  <c r="D47" i="10"/>
  <c r="E47" i="10" s="1"/>
  <c r="C12" i="11"/>
  <c r="C42" i="10"/>
  <c r="B42" i="10"/>
  <c r="C24" i="10"/>
  <c r="B24" i="10"/>
  <c r="C6" i="11" s="1"/>
  <c r="B22" i="10"/>
  <c r="J71" i="2"/>
  <c r="J69" i="2"/>
  <c r="F43" i="7"/>
  <c r="H43" i="7"/>
  <c r="J43" i="7"/>
  <c r="I44" i="7"/>
  <c r="C46" i="7"/>
  <c r="L71" i="2"/>
  <c r="L69" i="2"/>
  <c r="L72" i="2" s="1"/>
  <c r="F37" i="8" s="1"/>
  <c r="H71" i="2"/>
  <c r="H70" i="2"/>
  <c r="H72" i="2" s="1"/>
  <c r="D37" i="8" s="1"/>
  <c r="H69" i="2"/>
  <c r="F71" i="2"/>
  <c r="F70" i="2"/>
  <c r="F69" i="2"/>
  <c r="L70" i="2"/>
  <c r="J72" i="2"/>
  <c r="E37" i="8" s="1"/>
  <c r="F72" i="2"/>
  <c r="C37" i="8" s="1"/>
  <c r="D70" i="2"/>
  <c r="D71" i="2"/>
  <c r="D69" i="2"/>
  <c r="D62" i="2"/>
  <c r="D63" i="2"/>
  <c r="D61" i="2"/>
  <c r="D51" i="2"/>
  <c r="O47" i="2"/>
  <c r="L47" i="2"/>
  <c r="I47" i="2"/>
  <c r="F47" i="2"/>
  <c r="F62" i="2" s="1"/>
  <c r="D54" i="2"/>
  <c r="D55" i="2"/>
  <c r="D57" i="2"/>
  <c r="D53" i="2"/>
  <c r="D49" i="2"/>
  <c r="D50" i="2"/>
  <c r="D48" i="2"/>
  <c r="D64" i="2" s="1"/>
  <c r="B38" i="8" s="1"/>
  <c r="B23" i="8"/>
  <c r="B11" i="8"/>
  <c r="C7" i="12" s="1"/>
  <c r="D7" i="12" s="1"/>
  <c r="B39" i="8"/>
  <c r="B13" i="8"/>
  <c r="C8" i="12" s="1"/>
  <c r="D8" i="12" s="1"/>
  <c r="B21" i="8"/>
  <c r="D12" i="10"/>
  <c r="C12" i="10"/>
  <c r="D11" i="10"/>
  <c r="C11" i="10"/>
  <c r="B11" i="10"/>
  <c r="B10" i="10"/>
  <c r="E10" i="10" s="1"/>
  <c r="D9" i="10"/>
  <c r="C9" i="10"/>
  <c r="B9" i="10"/>
  <c r="E8" i="10"/>
  <c r="E4" i="10"/>
  <c r="D5" i="10" s="1"/>
  <c r="B35" i="13" l="1"/>
  <c r="C13" i="13"/>
  <c r="C33" i="13" s="1"/>
  <c r="C22" i="13"/>
  <c r="B32" i="13"/>
  <c r="B43" i="13" s="1"/>
  <c r="C8" i="13"/>
  <c r="C32" i="13" s="1"/>
  <c r="C43" i="13" s="1"/>
  <c r="H32" i="12"/>
  <c r="I32" i="12" s="1"/>
  <c r="J32" i="12" s="1"/>
  <c r="F44" i="7"/>
  <c r="J45" i="7"/>
  <c r="H45" i="7"/>
  <c r="F45" i="7"/>
  <c r="D8" i="10"/>
  <c r="E9" i="10"/>
  <c r="E11" i="10"/>
  <c r="D72" i="2"/>
  <c r="B37" i="8" s="1"/>
  <c r="I45" i="7"/>
  <c r="G45" i="7"/>
  <c r="K45" i="7" s="1"/>
  <c r="J44" i="7"/>
  <c r="H44" i="7"/>
  <c r="K44" i="7" s="1"/>
  <c r="I43" i="7"/>
  <c r="G43" i="7"/>
  <c r="K43" i="7" s="1"/>
  <c r="E12" i="10"/>
  <c r="I62" i="2"/>
  <c r="G62" i="2"/>
  <c r="F51" i="2"/>
  <c r="F49" i="2"/>
  <c r="F53" i="2"/>
  <c r="F56" i="2"/>
  <c r="F54" i="2"/>
  <c r="F63" i="2"/>
  <c r="F48" i="2"/>
  <c r="F50" i="2"/>
  <c r="F57" i="2"/>
  <c r="F55" i="2"/>
  <c r="F61" i="2"/>
  <c r="C5" i="10"/>
  <c r="B5" i="10"/>
  <c r="C29" i="13" l="1"/>
  <c r="H33" i="12"/>
  <c r="I33" i="12" s="1"/>
  <c r="J33" i="12" s="1"/>
  <c r="E5" i="10"/>
  <c r="I61" i="2"/>
  <c r="G61" i="2"/>
  <c r="I55" i="2"/>
  <c r="G55" i="2"/>
  <c r="I50" i="2"/>
  <c r="G50" i="2"/>
  <c r="G63" i="2"/>
  <c r="I63" i="2"/>
  <c r="G56" i="2"/>
  <c r="I56" i="2"/>
  <c r="G49" i="2"/>
  <c r="I49" i="2"/>
  <c r="L62" i="2"/>
  <c r="J62" i="2"/>
  <c r="I57" i="2"/>
  <c r="G57" i="2"/>
  <c r="I48" i="2"/>
  <c r="G48" i="2"/>
  <c r="G54" i="2"/>
  <c r="I54" i="2"/>
  <c r="G53" i="2"/>
  <c r="I53" i="2"/>
  <c r="I51" i="2"/>
  <c r="G51" i="2"/>
  <c r="B8" i="10"/>
  <c r="C8" i="10"/>
  <c r="L51" i="2" l="1"/>
  <c r="J51" i="2"/>
  <c r="L48" i="2"/>
  <c r="J48" i="2"/>
  <c r="L57" i="2"/>
  <c r="J57" i="2"/>
  <c r="O62" i="2"/>
  <c r="P62" i="2" s="1"/>
  <c r="M62" i="2"/>
  <c r="J50" i="2"/>
  <c r="L50" i="2"/>
  <c r="L55" i="2"/>
  <c r="J55" i="2"/>
  <c r="L61" i="2"/>
  <c r="J61" i="2"/>
  <c r="G64" i="2"/>
  <c r="C38" i="8" s="1"/>
  <c r="J53" i="2"/>
  <c r="L53" i="2"/>
  <c r="J54" i="2"/>
  <c r="L54" i="2"/>
  <c r="L49" i="2"/>
  <c r="J49" i="2"/>
  <c r="J56" i="2"/>
  <c r="L56" i="2"/>
  <c r="J63" i="2"/>
  <c r="L63" i="2"/>
  <c r="O49" i="2" l="1"/>
  <c r="P49" i="2" s="1"/>
  <c r="M49" i="2"/>
  <c r="M63" i="2"/>
  <c r="O63" i="2"/>
  <c r="P63" i="2" s="1"/>
  <c r="M56" i="2"/>
  <c r="O56" i="2"/>
  <c r="P56" i="2" s="1"/>
  <c r="M54" i="2"/>
  <c r="O54" i="2"/>
  <c r="P54" i="2" s="1"/>
  <c r="M53" i="2"/>
  <c r="O53" i="2"/>
  <c r="P53" i="2" s="1"/>
  <c r="O61" i="2"/>
  <c r="P61" i="2" s="1"/>
  <c r="M61" i="2"/>
  <c r="O55" i="2"/>
  <c r="P55" i="2" s="1"/>
  <c r="M55" i="2"/>
  <c r="O57" i="2"/>
  <c r="P57" i="2" s="1"/>
  <c r="M57" i="2"/>
  <c r="O48" i="2"/>
  <c r="P48" i="2" s="1"/>
  <c r="M48" i="2"/>
  <c r="O51" i="2"/>
  <c r="P51" i="2" s="1"/>
  <c r="M51" i="2"/>
  <c r="O50" i="2"/>
  <c r="P50" i="2" s="1"/>
  <c r="M50" i="2"/>
  <c r="J64" i="2"/>
  <c r="D38" i="8" s="1"/>
  <c r="P64" i="2" l="1"/>
  <c r="F38" i="8" s="1"/>
  <c r="M64" i="2"/>
  <c r="E38" i="8" s="1"/>
  <c r="D3" i="8"/>
  <c r="E3" i="8"/>
  <c r="F3" i="8"/>
  <c r="C3" i="8"/>
  <c r="C6" i="6"/>
  <c r="B6" i="6"/>
  <c r="B46" i="7"/>
  <c r="J42" i="7"/>
  <c r="I42" i="7"/>
  <c r="H42" i="7"/>
  <c r="G42" i="7"/>
  <c r="F42" i="7"/>
  <c r="J41" i="7"/>
  <c r="I41" i="7"/>
  <c r="H41" i="7"/>
  <c r="G41" i="7"/>
  <c r="F41" i="7"/>
  <c r="J40" i="7"/>
  <c r="I40" i="7"/>
  <c r="H40" i="7"/>
  <c r="G40" i="7"/>
  <c r="F40" i="7"/>
  <c r="J39" i="7"/>
  <c r="I39" i="7"/>
  <c r="H39" i="7"/>
  <c r="G39" i="7"/>
  <c r="F39" i="7"/>
  <c r="J38" i="7"/>
  <c r="I38" i="7"/>
  <c r="H38" i="7"/>
  <c r="G38" i="7"/>
  <c r="F38" i="7"/>
  <c r="J37" i="7"/>
  <c r="I37" i="7"/>
  <c r="H37" i="7"/>
  <c r="G37" i="7"/>
  <c r="F37" i="7"/>
  <c r="J36" i="7"/>
  <c r="I36" i="7"/>
  <c r="H36" i="7"/>
  <c r="G36" i="7"/>
  <c r="F36" i="7"/>
  <c r="J35" i="7"/>
  <c r="I35" i="7"/>
  <c r="H35" i="7"/>
  <c r="G35" i="7"/>
  <c r="F35" i="7"/>
  <c r="J34" i="7"/>
  <c r="I34" i="7"/>
  <c r="H34" i="7"/>
  <c r="G34" i="7"/>
  <c r="F34" i="7"/>
  <c r="J33" i="7"/>
  <c r="I33" i="7"/>
  <c r="H33" i="7"/>
  <c r="G33" i="7"/>
  <c r="F33" i="7"/>
  <c r="J32" i="7"/>
  <c r="I32" i="7"/>
  <c r="H32" i="7"/>
  <c r="G32" i="7"/>
  <c r="F32" i="7"/>
  <c r="J31" i="7"/>
  <c r="I31" i="7"/>
  <c r="H31" i="7"/>
  <c r="G31" i="7"/>
  <c r="F31" i="7"/>
  <c r="J30" i="7"/>
  <c r="I30" i="7"/>
  <c r="H30" i="7"/>
  <c r="G30" i="7"/>
  <c r="F30" i="7"/>
  <c r="J29" i="7"/>
  <c r="I29" i="7"/>
  <c r="H29" i="7"/>
  <c r="G29" i="7"/>
  <c r="F29" i="7"/>
  <c r="J28" i="7"/>
  <c r="I28" i="7"/>
  <c r="H28" i="7"/>
  <c r="G28" i="7"/>
  <c r="F28" i="7"/>
  <c r="C26" i="7"/>
  <c r="C47" i="7" s="1"/>
  <c r="B26" i="7"/>
  <c r="J25" i="7"/>
  <c r="I25" i="7"/>
  <c r="H25" i="7"/>
  <c r="G25" i="7"/>
  <c r="F25" i="7"/>
  <c r="J24" i="7"/>
  <c r="I24" i="7"/>
  <c r="H24" i="7"/>
  <c r="G24" i="7"/>
  <c r="K24" i="7" s="1"/>
  <c r="F24" i="7"/>
  <c r="J23" i="7"/>
  <c r="I23" i="7"/>
  <c r="H23" i="7"/>
  <c r="G23" i="7"/>
  <c r="F23" i="7"/>
  <c r="J22" i="7"/>
  <c r="I22" i="7"/>
  <c r="H22" i="7"/>
  <c r="G22" i="7"/>
  <c r="K22" i="7" s="1"/>
  <c r="F22" i="7"/>
  <c r="J21" i="7"/>
  <c r="I21" i="7"/>
  <c r="H21" i="7"/>
  <c r="G21" i="7"/>
  <c r="F21" i="7"/>
  <c r="J20" i="7"/>
  <c r="I20" i="7"/>
  <c r="H20" i="7"/>
  <c r="G20" i="7"/>
  <c r="K20" i="7" s="1"/>
  <c r="F20" i="7"/>
  <c r="J19" i="7"/>
  <c r="I19" i="7"/>
  <c r="H19" i="7"/>
  <c r="G19" i="7"/>
  <c r="F19" i="7"/>
  <c r="J18" i="7"/>
  <c r="I18" i="7"/>
  <c r="H18" i="7"/>
  <c r="G18" i="7"/>
  <c r="K18" i="7" s="1"/>
  <c r="F18" i="7"/>
  <c r="J17" i="7"/>
  <c r="I17" i="7"/>
  <c r="H17" i="7"/>
  <c r="G17" i="7"/>
  <c r="F17" i="7"/>
  <c r="J16" i="7"/>
  <c r="I16" i="7"/>
  <c r="H16" i="7"/>
  <c r="G16" i="7"/>
  <c r="K16" i="7" s="1"/>
  <c r="F16" i="7"/>
  <c r="J15" i="7"/>
  <c r="I15" i="7"/>
  <c r="H15" i="7"/>
  <c r="G15" i="7"/>
  <c r="F15" i="7"/>
  <c r="J14" i="7"/>
  <c r="I14" i="7"/>
  <c r="H14" i="7"/>
  <c r="G14" i="7"/>
  <c r="K14" i="7" s="1"/>
  <c r="F14" i="7"/>
  <c r="J13" i="7"/>
  <c r="I13" i="7"/>
  <c r="H13" i="7"/>
  <c r="G13" i="7"/>
  <c r="F13" i="7"/>
  <c r="J12" i="7"/>
  <c r="I12" i="7"/>
  <c r="H12" i="7"/>
  <c r="G12" i="7"/>
  <c r="K12" i="7" s="1"/>
  <c r="F12" i="7"/>
  <c r="J11" i="7"/>
  <c r="I11" i="7"/>
  <c r="H11" i="7"/>
  <c r="G11" i="7"/>
  <c r="F11" i="7"/>
  <c r="J10" i="7"/>
  <c r="I10" i="7"/>
  <c r="H10" i="7"/>
  <c r="G10" i="7"/>
  <c r="K10" i="7" s="1"/>
  <c r="F10" i="7"/>
  <c r="J9" i="7"/>
  <c r="I9" i="7"/>
  <c r="H9" i="7"/>
  <c r="G9" i="7"/>
  <c r="F9" i="7"/>
  <c r="J8" i="7"/>
  <c r="I8" i="7"/>
  <c r="H8" i="7"/>
  <c r="G8" i="7"/>
  <c r="K8" i="7" s="1"/>
  <c r="F8" i="7"/>
  <c r="J7" i="7"/>
  <c r="I7" i="7"/>
  <c r="H7" i="7"/>
  <c r="G7" i="7"/>
  <c r="F7" i="7"/>
  <c r="J6" i="7"/>
  <c r="I6" i="7"/>
  <c r="H6" i="7"/>
  <c r="G6" i="7"/>
  <c r="K6" i="7" s="1"/>
  <c r="F6" i="7"/>
  <c r="J5" i="7"/>
  <c r="I5" i="7"/>
  <c r="H5" i="7"/>
  <c r="G5" i="7"/>
  <c r="F5" i="7"/>
  <c r="J4" i="7"/>
  <c r="I4" i="7"/>
  <c r="I26" i="7" s="1"/>
  <c r="H4" i="7"/>
  <c r="G4" i="7"/>
  <c r="F4" i="7"/>
  <c r="D46" i="6"/>
  <c r="C46" i="6"/>
  <c r="B46" i="6"/>
  <c r="E45" i="6"/>
  <c r="E44" i="6"/>
  <c r="E43" i="6"/>
  <c r="E42" i="6"/>
  <c r="D37" i="6"/>
  <c r="D36" i="6"/>
  <c r="D31" i="6"/>
  <c r="C31" i="6"/>
  <c r="B31" i="6"/>
  <c r="E30" i="6"/>
  <c r="E29" i="6"/>
  <c r="E28" i="6"/>
  <c r="E27" i="6"/>
  <c r="E26" i="6"/>
  <c r="E31" i="6" s="1"/>
  <c r="E25" i="6"/>
  <c r="C21" i="6"/>
  <c r="B21" i="6"/>
  <c r="D20" i="6"/>
  <c r="D19" i="6"/>
  <c r="B14" i="6"/>
  <c r="C13" i="6"/>
  <c r="E13" i="6" s="1"/>
  <c r="E12" i="6"/>
  <c r="C11" i="6"/>
  <c r="E11" i="6" s="1"/>
  <c r="C10" i="6"/>
  <c r="D5" i="6"/>
  <c r="D6" i="6" s="1"/>
  <c r="D4" i="6"/>
  <c r="L5" i="6"/>
  <c r="K18" i="6"/>
  <c r="J5" i="6"/>
  <c r="I18" i="6"/>
  <c r="H5" i="6"/>
  <c r="G18" i="6"/>
  <c r="F18" i="6"/>
  <c r="F35" i="6" s="1"/>
  <c r="E18" i="6"/>
  <c r="F39" i="2"/>
  <c r="F38" i="2"/>
  <c r="F37" i="2"/>
  <c r="F36" i="2"/>
  <c r="F35" i="2"/>
  <c r="F34" i="2"/>
  <c r="F33" i="2"/>
  <c r="F32" i="2"/>
  <c r="F40" i="2" s="1"/>
  <c r="G29" i="2"/>
  <c r="J29" i="2"/>
  <c r="M29" i="2"/>
  <c r="P29" i="2"/>
  <c r="F28" i="2"/>
  <c r="F27" i="2"/>
  <c r="F26" i="2"/>
  <c r="F25" i="2"/>
  <c r="F24" i="2"/>
  <c r="F23" i="2"/>
  <c r="F29" i="2" s="1"/>
  <c r="F20" i="2"/>
  <c r="F19" i="2"/>
  <c r="F18" i="2"/>
  <c r="F17" i="2"/>
  <c r="F16" i="2"/>
  <c r="F15" i="2"/>
  <c r="F21" i="2" s="1"/>
  <c r="F7" i="2"/>
  <c r="F8" i="2"/>
  <c r="F9" i="2"/>
  <c r="F10" i="2"/>
  <c r="F11" i="2"/>
  <c r="F12" i="2"/>
  <c r="F6" i="2"/>
  <c r="Q4" i="2"/>
  <c r="Q11" i="2" s="1"/>
  <c r="N4" i="2"/>
  <c r="K4" i="2"/>
  <c r="H4" i="2"/>
  <c r="H38" i="2" s="1"/>
  <c r="G7" i="1"/>
  <c r="B23" i="1"/>
  <c r="B18" i="1"/>
  <c r="B13" i="1"/>
  <c r="F46" i="7" l="1"/>
  <c r="B25" i="8" s="1"/>
  <c r="B30" i="8" s="1"/>
  <c r="H46" i="7"/>
  <c r="D25" i="8" s="1"/>
  <c r="J46" i="7"/>
  <c r="F25" i="8" s="1"/>
  <c r="K30" i="7"/>
  <c r="K32" i="7"/>
  <c r="K34" i="7"/>
  <c r="K36" i="7"/>
  <c r="K38" i="7"/>
  <c r="K40" i="7"/>
  <c r="K42" i="7"/>
  <c r="K4" i="7"/>
  <c r="E10" i="8"/>
  <c r="C14" i="6"/>
  <c r="D21" i="6"/>
  <c r="E46" i="6"/>
  <c r="F26" i="7"/>
  <c r="H26" i="7"/>
  <c r="J26" i="7"/>
  <c r="K5" i="7"/>
  <c r="K7" i="7"/>
  <c r="K9" i="7"/>
  <c r="K11" i="7"/>
  <c r="K13" i="7"/>
  <c r="K15" i="7"/>
  <c r="K17" i="7"/>
  <c r="K19" i="7"/>
  <c r="K21" i="7"/>
  <c r="K23" i="7"/>
  <c r="K25" i="7"/>
  <c r="D47" i="7"/>
  <c r="D13" i="12" s="1"/>
  <c r="B12" i="8"/>
  <c r="C12" i="8" s="1"/>
  <c r="G46" i="7"/>
  <c r="C25" i="8" s="1"/>
  <c r="I46" i="7"/>
  <c r="E25" i="8" s="1"/>
  <c r="K29" i="7"/>
  <c r="K31" i="7"/>
  <c r="K33" i="7"/>
  <c r="K35" i="7"/>
  <c r="K37" i="7"/>
  <c r="K39" i="7"/>
  <c r="K41" i="7"/>
  <c r="C21" i="8"/>
  <c r="C13" i="8"/>
  <c r="D13" i="8" s="1"/>
  <c r="E13" i="8" s="1"/>
  <c r="F13" i="8" s="1"/>
  <c r="C29" i="8"/>
  <c r="D29" i="8" s="1"/>
  <c r="E29" i="8" s="1"/>
  <c r="F29" i="8" s="1"/>
  <c r="C23" i="8"/>
  <c r="D23" i="8" s="1"/>
  <c r="E23" i="8" s="1"/>
  <c r="F23" i="8" s="1"/>
  <c r="C39" i="8"/>
  <c r="D39" i="8" s="1"/>
  <c r="E39" i="8" s="1"/>
  <c r="F39" i="8" s="1"/>
  <c r="C11" i="8"/>
  <c r="D11" i="8" s="1"/>
  <c r="K38" i="2"/>
  <c r="I38" i="2"/>
  <c r="H6" i="2"/>
  <c r="H8" i="2"/>
  <c r="K8" i="2" s="1"/>
  <c r="H10" i="2"/>
  <c r="H12" i="2"/>
  <c r="Q8" i="2"/>
  <c r="Q10" i="2"/>
  <c r="H16" i="2"/>
  <c r="K16" i="2" s="1"/>
  <c r="H17" i="2"/>
  <c r="K17" i="2" s="1"/>
  <c r="L17" i="2" s="1"/>
  <c r="H18" i="2"/>
  <c r="K18" i="2" s="1"/>
  <c r="H19" i="2"/>
  <c r="K19" i="2" s="1"/>
  <c r="H23" i="2"/>
  <c r="H28" i="2"/>
  <c r="K28" i="2" s="1"/>
  <c r="N28" i="2" s="1"/>
  <c r="H32" i="2"/>
  <c r="H35" i="2"/>
  <c r="K35" i="2" s="1"/>
  <c r="L35" i="2" s="1"/>
  <c r="H36" i="2"/>
  <c r="K36" i="2" s="1"/>
  <c r="H37" i="2"/>
  <c r="K37" i="2" s="1"/>
  <c r="L37" i="2" s="1"/>
  <c r="H7" i="2"/>
  <c r="K7" i="2" s="1"/>
  <c r="H9" i="2"/>
  <c r="H11" i="2"/>
  <c r="K11" i="2" s="1"/>
  <c r="Q7" i="2"/>
  <c r="Q9" i="2"/>
  <c r="H15" i="2"/>
  <c r="K15" i="2" s="1"/>
  <c r="H20" i="2"/>
  <c r="K20" i="2" s="1"/>
  <c r="N20" i="2" s="1"/>
  <c r="H24" i="2"/>
  <c r="K24" i="2" s="1"/>
  <c r="H25" i="2"/>
  <c r="K25" i="2" s="1"/>
  <c r="L25" i="2" s="1"/>
  <c r="H26" i="2"/>
  <c r="K26" i="2" s="1"/>
  <c r="H27" i="2"/>
  <c r="H33" i="2"/>
  <c r="K33" i="2" s="1"/>
  <c r="H34" i="2"/>
  <c r="H39" i="2"/>
  <c r="K39" i="2" s="1"/>
  <c r="G5" i="6"/>
  <c r="G4" i="6"/>
  <c r="E20" i="6"/>
  <c r="F20" i="6" s="1"/>
  <c r="E35" i="6"/>
  <c r="E36" i="6" s="1"/>
  <c r="G20" i="6"/>
  <c r="G35" i="6"/>
  <c r="G36" i="6" s="1"/>
  <c r="G37" i="6" s="1"/>
  <c r="I20" i="6"/>
  <c r="I35" i="6"/>
  <c r="I36" i="6" s="1"/>
  <c r="I37" i="6" s="1"/>
  <c r="I19" i="6"/>
  <c r="I21" i="6" s="1"/>
  <c r="K20" i="6"/>
  <c r="K35" i="6"/>
  <c r="K36" i="6" s="1"/>
  <c r="K37" i="6" s="1"/>
  <c r="K19" i="6"/>
  <c r="K21" i="6" s="1"/>
  <c r="H4" i="6"/>
  <c r="H6" i="6" s="1"/>
  <c r="J4" i="6"/>
  <c r="J6" i="6" s="1"/>
  <c r="L4" i="6"/>
  <c r="L6" i="6" s="1"/>
  <c r="E5" i="6"/>
  <c r="F5" i="6" s="1"/>
  <c r="I5" i="6"/>
  <c r="K5" i="6"/>
  <c r="E10" i="6"/>
  <c r="E14" i="6" s="1"/>
  <c r="B7" i="8" s="1"/>
  <c r="H18" i="6"/>
  <c r="J18" i="6"/>
  <c r="L18" i="6"/>
  <c r="E19" i="6"/>
  <c r="G19" i="6"/>
  <c r="G26" i="7"/>
  <c r="K28" i="7"/>
  <c r="E4" i="6"/>
  <c r="E6" i="6" s="1"/>
  <c r="I4" i="6"/>
  <c r="K4" i="6"/>
  <c r="K6" i="6" s="1"/>
  <c r="I36" i="2"/>
  <c r="N35" i="2"/>
  <c r="L36" i="2"/>
  <c r="N36" i="2"/>
  <c r="N39" i="2"/>
  <c r="L39" i="2"/>
  <c r="N33" i="2"/>
  <c r="L33" i="2"/>
  <c r="N37" i="2"/>
  <c r="L38" i="2"/>
  <c r="N38" i="2"/>
  <c r="I33" i="2"/>
  <c r="I37" i="2"/>
  <c r="I39" i="2"/>
  <c r="I25" i="2"/>
  <c r="N24" i="2"/>
  <c r="L24" i="2"/>
  <c r="N25" i="2"/>
  <c r="L28" i="2"/>
  <c r="N26" i="2"/>
  <c r="L26" i="2"/>
  <c r="I24" i="2"/>
  <c r="I26" i="2"/>
  <c r="I17" i="2"/>
  <c r="N16" i="2"/>
  <c r="L16" i="2"/>
  <c r="N17" i="2"/>
  <c r="L20" i="2"/>
  <c r="N18" i="2"/>
  <c r="L18" i="2"/>
  <c r="I16" i="2"/>
  <c r="I18" i="2"/>
  <c r="F13" i="2"/>
  <c r="K6" i="2"/>
  <c r="N6" i="2" s="1"/>
  <c r="Q6" i="2" s="1"/>
  <c r="K9" i="2"/>
  <c r="K12" i="2"/>
  <c r="N12" i="2" s="1"/>
  <c r="Q12" i="2" s="1"/>
  <c r="K10" i="2"/>
  <c r="B24" i="1"/>
  <c r="K26" i="7" l="1"/>
  <c r="C7" i="8"/>
  <c r="D7" i="8" s="1"/>
  <c r="E7" i="8" s="1"/>
  <c r="F7" i="8" s="1"/>
  <c r="C10" i="12"/>
  <c r="D10" i="12" s="1"/>
  <c r="F41" i="2"/>
  <c r="B5" i="8" s="1"/>
  <c r="C12" i="12" s="1"/>
  <c r="D12" i="12" s="1"/>
  <c r="B21" i="12" s="1"/>
  <c r="B6" i="14" s="1"/>
  <c r="F6" i="14" s="1"/>
  <c r="I6" i="14" s="1"/>
  <c r="F30" i="2"/>
  <c r="G47" i="7"/>
  <c r="C10" i="8"/>
  <c r="C15" i="8" s="1"/>
  <c r="H47" i="7"/>
  <c r="D10" i="8"/>
  <c r="I8" i="2"/>
  <c r="I20" i="2"/>
  <c r="I28" i="2"/>
  <c r="I35" i="2"/>
  <c r="I6" i="6"/>
  <c r="K46" i="7"/>
  <c r="K47" i="7" s="1"/>
  <c r="G21" i="6"/>
  <c r="M5" i="6"/>
  <c r="N5" i="6" s="1"/>
  <c r="G6" i="6"/>
  <c r="J47" i="7"/>
  <c r="F10" i="8"/>
  <c r="F47" i="7"/>
  <c r="B10" i="8"/>
  <c r="I47" i="7"/>
  <c r="D21" i="8"/>
  <c r="C30" i="8"/>
  <c r="D12" i="8"/>
  <c r="E12" i="8" s="1"/>
  <c r="F12" i="8" s="1"/>
  <c r="E11" i="8"/>
  <c r="I15" i="2"/>
  <c r="K32" i="2"/>
  <c r="I32" i="2"/>
  <c r="K23" i="2"/>
  <c r="I23" i="2"/>
  <c r="H29" i="2"/>
  <c r="K34" i="2"/>
  <c r="I34" i="2"/>
  <c r="K27" i="2"/>
  <c r="I27" i="2"/>
  <c r="I19" i="2"/>
  <c r="F4" i="6"/>
  <c r="F6" i="6" s="1"/>
  <c r="F19" i="6"/>
  <c r="F21" i="6" s="1"/>
  <c r="E21" i="6"/>
  <c r="J35" i="6"/>
  <c r="J36" i="6" s="1"/>
  <c r="J37" i="6" s="1"/>
  <c r="J19" i="6"/>
  <c r="J20" i="6"/>
  <c r="L35" i="6"/>
  <c r="L36" i="6" s="1"/>
  <c r="L19" i="6"/>
  <c r="L20" i="6"/>
  <c r="H35" i="6"/>
  <c r="H36" i="6" s="1"/>
  <c r="H37" i="6" s="1"/>
  <c r="H19" i="6"/>
  <c r="H20" i="6"/>
  <c r="M4" i="6"/>
  <c r="E37" i="6"/>
  <c r="F36" i="6"/>
  <c r="F37" i="6" s="1"/>
  <c r="Q37" i="2"/>
  <c r="R37" i="2" s="1"/>
  <c r="O37" i="2"/>
  <c r="Q33" i="2"/>
  <c r="R33" i="2" s="1"/>
  <c r="O33" i="2"/>
  <c r="Q39" i="2"/>
  <c r="R39" i="2" s="1"/>
  <c r="O39" i="2"/>
  <c r="Q35" i="2"/>
  <c r="R35" i="2" s="1"/>
  <c r="O35" i="2"/>
  <c r="O38" i="2"/>
  <c r="Q38" i="2"/>
  <c r="R38" i="2" s="1"/>
  <c r="O36" i="2"/>
  <c r="Q36" i="2"/>
  <c r="R36" i="2" s="1"/>
  <c r="Q26" i="2"/>
  <c r="R26" i="2" s="1"/>
  <c r="O26" i="2"/>
  <c r="Q28" i="2"/>
  <c r="R28" i="2" s="1"/>
  <c r="O28" i="2"/>
  <c r="Q24" i="2"/>
  <c r="R24" i="2" s="1"/>
  <c r="O24" i="2"/>
  <c r="O25" i="2"/>
  <c r="Q25" i="2"/>
  <c r="R25" i="2" s="1"/>
  <c r="Q18" i="2"/>
  <c r="R18" i="2" s="1"/>
  <c r="O18" i="2"/>
  <c r="Q20" i="2"/>
  <c r="R20" i="2" s="1"/>
  <c r="O20" i="2"/>
  <c r="Q16" i="2"/>
  <c r="R16" i="2" s="1"/>
  <c r="O16" i="2"/>
  <c r="O17" i="2"/>
  <c r="Q17" i="2"/>
  <c r="R17" i="2" s="1"/>
  <c r="I10" i="2"/>
  <c r="I7" i="2"/>
  <c r="I11" i="2"/>
  <c r="I12" i="2"/>
  <c r="I9" i="2"/>
  <c r="I6" i="2"/>
  <c r="L8" i="2"/>
  <c r="H27" i="14" l="1"/>
  <c r="I25" i="14"/>
  <c r="D15" i="8"/>
  <c r="N4" i="6"/>
  <c r="N6" i="6" s="1"/>
  <c r="M6" i="6"/>
  <c r="H21" i="6"/>
  <c r="E21" i="8"/>
  <c r="D30" i="8"/>
  <c r="F11" i="8"/>
  <c r="E15" i="8"/>
  <c r="F15" i="8"/>
  <c r="I29" i="2"/>
  <c r="I40" i="2"/>
  <c r="K29" i="2"/>
  <c r="N23" i="2"/>
  <c r="L23" i="2"/>
  <c r="L32" i="2"/>
  <c r="N32" i="2"/>
  <c r="N15" i="2"/>
  <c r="L15" i="2"/>
  <c r="N19" i="2"/>
  <c r="L19" i="2"/>
  <c r="N27" i="2"/>
  <c r="L27" i="2"/>
  <c r="L34" i="2"/>
  <c r="N34" i="2"/>
  <c r="I13" i="2"/>
  <c r="I21" i="2"/>
  <c r="J21" i="6"/>
  <c r="M20" i="6"/>
  <c r="N20" i="6" s="1"/>
  <c r="L21" i="6"/>
  <c r="M21" i="6" s="1"/>
  <c r="M19" i="6"/>
  <c r="N19" i="6" s="1"/>
  <c r="L37" i="6"/>
  <c r="M36" i="6"/>
  <c r="L6" i="2"/>
  <c r="L9" i="2"/>
  <c r="L11" i="2"/>
  <c r="L7" i="2"/>
  <c r="R8" i="2"/>
  <c r="O8" i="2"/>
  <c r="L12" i="2"/>
  <c r="L10" i="2"/>
  <c r="E13" i="10" l="1"/>
  <c r="B6" i="8"/>
  <c r="C4" i="12" s="1"/>
  <c r="D4" i="12" s="1"/>
  <c r="F21" i="8"/>
  <c r="F30" i="8" s="1"/>
  <c r="E30" i="8"/>
  <c r="Q34" i="2"/>
  <c r="R34" i="2" s="1"/>
  <c r="O34" i="2"/>
  <c r="Q32" i="2"/>
  <c r="R32" i="2" s="1"/>
  <c r="R40" i="2" s="1"/>
  <c r="O32" i="2"/>
  <c r="O40" i="2" s="1"/>
  <c r="L21" i="2"/>
  <c r="L29" i="2"/>
  <c r="I41" i="2"/>
  <c r="C5" i="8" s="1"/>
  <c r="I30" i="2"/>
  <c r="Q27" i="2"/>
  <c r="R27" i="2" s="1"/>
  <c r="O27" i="2"/>
  <c r="Q19" i="2"/>
  <c r="R19" i="2" s="1"/>
  <c r="O19" i="2"/>
  <c r="Q15" i="2"/>
  <c r="R15" i="2" s="1"/>
  <c r="O15" i="2"/>
  <c r="O21" i="2" s="1"/>
  <c r="N29" i="2"/>
  <c r="Q23" i="2"/>
  <c r="O23" i="2"/>
  <c r="O29" i="2" s="1"/>
  <c r="L40" i="2"/>
  <c r="N21" i="6"/>
  <c r="M37" i="6"/>
  <c r="N36" i="6"/>
  <c r="N37" i="6" s="1"/>
  <c r="B32" i="8" s="1"/>
  <c r="C6" i="12" s="1"/>
  <c r="D6" i="12" s="1"/>
  <c r="R10" i="2"/>
  <c r="O10" i="2"/>
  <c r="R12" i="2"/>
  <c r="O12" i="2"/>
  <c r="O7" i="2"/>
  <c r="R7" i="2"/>
  <c r="O11" i="2"/>
  <c r="R11" i="2"/>
  <c r="O9" i="2"/>
  <c r="R9" i="2"/>
  <c r="O6" i="2"/>
  <c r="R6" i="2"/>
  <c r="D11" i="12" l="1"/>
  <c r="B40" i="8"/>
  <c r="C32" i="8"/>
  <c r="D13" i="10"/>
  <c r="D16" i="10" s="1"/>
  <c r="E16" i="10"/>
  <c r="B13" i="10"/>
  <c r="B16" i="10" s="1"/>
  <c r="C13" i="10"/>
  <c r="C16" i="10" s="1"/>
  <c r="C6" i="8"/>
  <c r="D6" i="8" s="1"/>
  <c r="E6" i="8" s="1"/>
  <c r="F6" i="8" s="1"/>
  <c r="B8" i="8"/>
  <c r="O13" i="2"/>
  <c r="R21" i="2"/>
  <c r="L30" i="2"/>
  <c r="L41" i="2"/>
  <c r="D5" i="8" s="1"/>
  <c r="O41" i="2"/>
  <c r="E5" i="8" s="1"/>
  <c r="E8" i="8" s="1"/>
  <c r="E16" i="8" s="1"/>
  <c r="O30" i="2"/>
  <c r="R23" i="2"/>
  <c r="R29" i="2" s="1"/>
  <c r="Q29" i="2"/>
  <c r="R13" i="2"/>
  <c r="B20" i="12" l="1"/>
  <c r="D15" i="12"/>
  <c r="D8" i="8"/>
  <c r="D16" i="8" s="1"/>
  <c r="C8" i="8"/>
  <c r="C16" i="8" s="1"/>
  <c r="B25" i="10"/>
  <c r="C10" i="11"/>
  <c r="D32" i="8"/>
  <c r="C40" i="8"/>
  <c r="C41" i="8" s="1"/>
  <c r="C43" i="8" s="1"/>
  <c r="R30" i="2"/>
  <c r="R41" i="2"/>
  <c r="F5" i="8" s="1"/>
  <c r="F8" i="8" s="1"/>
  <c r="F16" i="8" s="1"/>
  <c r="B22" i="12" l="1"/>
  <c r="B27" i="12" s="1"/>
  <c r="B33" i="12" s="1"/>
  <c r="B5" i="14"/>
  <c r="D40" i="8"/>
  <c r="D41" i="8" s="1"/>
  <c r="D43" i="8" s="1"/>
  <c r="E32" i="8"/>
  <c r="C25" i="10"/>
  <c r="B26" i="10"/>
  <c r="B34" i="12" l="1"/>
  <c r="B35" i="12" s="1"/>
  <c r="C17" i="14"/>
  <c r="F5" i="14"/>
  <c r="F25" i="14" s="1"/>
  <c r="B25" i="14"/>
  <c r="B30" i="10"/>
  <c r="C26" i="10"/>
  <c r="E40" i="8"/>
  <c r="E41" i="8" s="1"/>
  <c r="E43" i="8" s="1"/>
  <c r="F32" i="8"/>
  <c r="F40" i="8" s="1"/>
  <c r="F41" i="8" s="1"/>
  <c r="F43" i="8" s="1"/>
  <c r="C25" i="14" l="1"/>
  <c r="G17" i="14"/>
  <c r="G25" i="14" s="1"/>
  <c r="B14" i="8"/>
  <c r="B15" i="8" s="1"/>
  <c r="B16" i="8" s="1"/>
  <c r="B41" i="8" s="1"/>
  <c r="B43" i="8" s="1"/>
  <c r="E17" i="10" s="1"/>
  <c r="E18" i="10" l="1"/>
  <c r="B17" i="10"/>
  <c r="C17" i="10"/>
  <c r="C18" i="10" s="1"/>
  <c r="C19" i="10" s="1"/>
  <c r="D17" i="10"/>
  <c r="D18" i="10" s="1"/>
  <c r="D19" i="10" s="1"/>
  <c r="D42" i="10" l="1"/>
  <c r="B28" i="10"/>
  <c r="C8" i="11"/>
  <c r="B18" i="10"/>
  <c r="D41" i="10"/>
  <c r="E41" i="10" s="1"/>
  <c r="B32" i="10"/>
  <c r="C16" i="11" s="1"/>
  <c r="E42" i="10" l="1"/>
  <c r="B19" i="10"/>
  <c r="C14" i="11"/>
  <c r="B35" i="10"/>
</calcChain>
</file>

<file path=xl/comments1.xml><?xml version="1.0" encoding="utf-8"?>
<comments xmlns="http://schemas.openxmlformats.org/spreadsheetml/2006/main">
  <authors>
    <author>FCCEA</author>
  </authors>
  <commentList>
    <comment ref="B5" authorId="0" shapeId="0">
      <text>
        <r>
          <rPr>
            <b/>
            <sz val="8"/>
            <color indexed="81"/>
            <rFont val="Tahoma"/>
            <family val="2"/>
          </rPr>
          <t>FCCEA:</t>
        </r>
        <r>
          <rPr>
            <sz val="8"/>
            <color indexed="81"/>
            <rFont val="Tahoma"/>
            <family val="2"/>
          </rPr>
          <t xml:space="preserve">
</t>
        </r>
        <r>
          <rPr>
            <sz val="10"/>
            <color indexed="81"/>
            <rFont val="Tahoma"/>
            <family val="2"/>
          </rPr>
          <t>NO UBICAMOS NINGUN VALOR DE INFLACION PORQUE TRABAJAMOS CON LOS PRECIOS DEL MERCADO CORRESPONDIENTES A ESTE AÑO</t>
        </r>
      </text>
    </comment>
    <comment ref="B24" authorId="0" shapeId="0">
      <text>
        <r>
          <rPr>
            <b/>
            <sz val="8"/>
            <color indexed="81"/>
            <rFont val="Tahoma"/>
            <family val="2"/>
          </rPr>
          <t>FCCEA:</t>
        </r>
        <r>
          <rPr>
            <sz val="8"/>
            <color indexed="81"/>
            <rFont val="Tahoma"/>
            <family val="2"/>
          </rPr>
          <t xml:space="preserve">
</t>
        </r>
        <r>
          <rPr>
            <sz val="11"/>
            <color indexed="81"/>
            <rFont val="Tahoma"/>
            <family val="2"/>
          </rPr>
          <t>ESTO QUIERE DECIR QUE UNA PERSONA POR EJEMPLO GANA UN MILLON DE PESOS CON TODAS SUS PRESTACIONES SOCIALES GANA UN TOTAL DE $1.600.000</t>
        </r>
      </text>
    </comment>
  </commentList>
</comments>
</file>

<file path=xl/comments2.xml><?xml version="1.0" encoding="utf-8"?>
<comments xmlns="http://schemas.openxmlformats.org/spreadsheetml/2006/main">
  <authors>
    <author>FCCEA</author>
  </authors>
  <commentList>
    <comment ref="C25" authorId="0" shapeId="0">
      <text>
        <r>
          <rPr>
            <sz val="8"/>
            <color indexed="81"/>
            <rFont val="Tahoma"/>
            <family val="2"/>
          </rPr>
          <t xml:space="preserve">Los costos variables corresponden a un 62% del valor de las ventas
</t>
        </r>
      </text>
    </comment>
    <comment ref="C26" authorId="0" shapeId="0">
      <text>
        <r>
          <rPr>
            <b/>
            <sz val="8"/>
            <color indexed="81"/>
            <rFont val="Tahoma"/>
            <family val="2"/>
          </rPr>
          <t>El margen de contribuciòn corresponde a un 38% del total de ventas</t>
        </r>
        <r>
          <rPr>
            <sz val="8"/>
            <color indexed="81"/>
            <rFont val="Tahoma"/>
            <family val="2"/>
          </rPr>
          <t xml:space="preserve">
</t>
        </r>
      </text>
    </comment>
    <comment ref="B28" authorId="0" shapeId="0">
      <text>
        <r>
          <rPr>
            <b/>
            <sz val="8"/>
            <color indexed="81"/>
            <rFont val="Tahoma"/>
            <family val="2"/>
          </rPr>
          <t>El punto de equilibrio en $ es igual a los costos fijos dividido entre el porcentaje del margen de contribución</t>
        </r>
        <r>
          <rPr>
            <sz val="8"/>
            <color indexed="81"/>
            <rFont val="Tahoma"/>
            <family val="2"/>
          </rPr>
          <t xml:space="preserve">
</t>
        </r>
      </text>
    </comment>
    <comment ref="B30" authorId="0" shapeId="0">
      <text>
        <r>
          <rPr>
            <b/>
            <sz val="8"/>
            <color indexed="81"/>
            <rFont val="Tahoma"/>
            <family val="2"/>
          </rPr>
          <t>El margen de contribuciòn unitaria es igual al valor ($) del margen de contribuciòn divido entre el numero de unidades producidas</t>
        </r>
        <r>
          <rPr>
            <sz val="8"/>
            <color indexed="81"/>
            <rFont val="Tahoma"/>
            <family val="2"/>
          </rPr>
          <t xml:space="preserve">
</t>
        </r>
      </text>
    </comment>
    <comment ref="B32" authorId="0" shapeId="0">
      <text>
        <r>
          <rPr>
            <b/>
            <sz val="8"/>
            <color indexed="81"/>
            <rFont val="Tahoma"/>
            <family val="2"/>
          </rPr>
          <t>El punto de equilibrio en unidades es igual a los costos fijos dividido entre el margen de contribuciòn unitario</t>
        </r>
        <r>
          <rPr>
            <sz val="8"/>
            <color indexed="81"/>
            <rFont val="Tahoma"/>
            <family val="2"/>
          </rPr>
          <t xml:space="preserve">
</t>
        </r>
      </text>
    </comment>
    <comment ref="B35" authorId="0" shapeId="0">
      <text>
        <r>
          <rPr>
            <sz val="8"/>
            <color indexed="81"/>
            <rFont val="Tahoma"/>
            <family val="2"/>
          </rPr>
          <t xml:space="preserve">Para comprobar el punto de equilibrio en pesos se utiliza la siguiente formula: el punto de equilibrio en pesos divido entre el precio de venta
</t>
        </r>
      </text>
    </comment>
  </commentList>
</comments>
</file>

<file path=xl/comments3.xml><?xml version="1.0" encoding="utf-8"?>
<comments xmlns="http://schemas.openxmlformats.org/spreadsheetml/2006/main">
  <authors>
    <author>MarthaLucia</author>
  </authors>
  <commentList>
    <comment ref="A1" authorId="0" shapeId="0">
      <text>
        <r>
          <rPr>
            <b/>
            <sz val="14"/>
            <color indexed="81"/>
            <rFont val="Tahoma"/>
            <family val="2"/>
          </rPr>
          <t>EL CAPITAL DE TRABAJO O LA INVERSIÓN INICIAL, ES EL DINERO REQUERIDO PARA INICIAR EL NEGOCIO O LA EMPRESA Y CONSTA DE EFECTIVO, INVERSIONES EN ACTIVOS FIJOS  E INVERSIONES EN ACTIVOS DIFERIDOS</t>
        </r>
      </text>
    </comment>
    <comment ref="D12" authorId="0" shapeId="0">
      <text>
        <r>
          <rPr>
            <b/>
            <sz val="9"/>
            <color indexed="81"/>
            <rFont val="Tahoma"/>
            <family val="2"/>
          </rPr>
          <t>EL INVENTARIO SE SACA DEL EFECTIVO PORQUE SE TIENEN EN ESPECIE.</t>
        </r>
      </text>
    </comment>
    <comment ref="B33" authorId="0" shapeId="0">
      <text>
        <r>
          <rPr>
            <b/>
            <sz val="12"/>
            <color indexed="81"/>
            <rFont val="Tahoma"/>
            <family val="2"/>
          </rPr>
          <t>ESTE VALOR SALE DE APLICAR LA ECUACIÓN PATRIMONIAL QUE ES IGUAL A TOTAL ACTIVOS MENOS TOTAL PASIVOS</t>
        </r>
      </text>
    </comment>
  </commentList>
</comments>
</file>

<file path=xl/sharedStrings.xml><?xml version="1.0" encoding="utf-8"?>
<sst xmlns="http://schemas.openxmlformats.org/spreadsheetml/2006/main" count="801" uniqueCount="532">
  <si>
    <t>BASES DE CALCULO</t>
  </si>
  <si>
    <t>VARIABLES MACROECONOMICAS</t>
  </si>
  <si>
    <t>AÑO 1</t>
  </si>
  <si>
    <t>AÑO 2</t>
  </si>
  <si>
    <t>AÑO 3</t>
  </si>
  <si>
    <t>AÑO 4</t>
  </si>
  <si>
    <t>AÑO 5</t>
  </si>
  <si>
    <t>INFLACION</t>
  </si>
  <si>
    <t>PROVISION MENSUAL DE NOMINA</t>
  </si>
  <si>
    <t>PRESTACIONES SOCIALES</t>
  </si>
  <si>
    <t>SUBTOTAL PRESTACIONES</t>
  </si>
  <si>
    <t>Cesantìas</t>
  </si>
  <si>
    <t>Prima de servicios</t>
  </si>
  <si>
    <t>Vacaciones</t>
  </si>
  <si>
    <t>Intereses a las cesantìas</t>
  </si>
  <si>
    <t>APORTES PARAFISCALES</t>
  </si>
  <si>
    <t>Sena</t>
  </si>
  <si>
    <t>Comfacauca</t>
  </si>
  <si>
    <t>I.C.B.F.</t>
  </si>
  <si>
    <t>SUBTOTAL PARAFISCALES</t>
  </si>
  <si>
    <t>SEGURIDAD</t>
  </si>
  <si>
    <t>Pensiòn</t>
  </si>
  <si>
    <t>Salud</t>
  </si>
  <si>
    <t>Riesgos profesionales</t>
  </si>
  <si>
    <t>SUBTOTAL SEGURIDAD SOCIAL</t>
  </si>
  <si>
    <t xml:space="preserve">TOTAL PROVISIÓN </t>
  </si>
  <si>
    <t xml:space="preserve">NOMBRE DE LOS PRODUCTOS Y/O SERVICIOS </t>
  </si>
  <si>
    <t>PRODUCTO 1</t>
  </si>
  <si>
    <t>PRODUCTO 2</t>
  </si>
  <si>
    <t>PRODUCTO 3</t>
  </si>
  <si>
    <t>PRODUCTO 4</t>
  </si>
  <si>
    <t>PRODUCTO 5</t>
  </si>
  <si>
    <t>IMPUESTO DE INDUSTRIA Y COMERCIO</t>
  </si>
  <si>
    <t>IMPUESTO DE RENTA Y COMPLEMENTARIOS</t>
  </si>
  <si>
    <t>ACTIVOS DIFERIDOS O GASTOS DE CONSTITUCION</t>
  </si>
  <si>
    <t>AÑOS</t>
  </si>
  <si>
    <t>CREDITO SOLICITADO</t>
  </si>
  <si>
    <t>PERIODO DE GRACIA DE LA DEUDA</t>
  </si>
  <si>
    <t>PLAZO TOTAL DE LA DEUDA</t>
  </si>
  <si>
    <t>PUNTOS POR ENCIMA DE LA DTF</t>
  </si>
  <si>
    <t>PRESUPUESTO DE MATERIA PRIMA DIRECTA</t>
  </si>
  <si>
    <t>COSTO UNIT.</t>
  </si>
  <si>
    <t>COSTO TOTAL</t>
  </si>
  <si>
    <t>CANTIDAD</t>
  </si>
  <si>
    <t>UNIDAD DE 
MEDIDA</t>
  </si>
  <si>
    <t>NOMBRE DE INSUMO</t>
  </si>
  <si>
    <t>FACTOR DE INFLACION</t>
  </si>
  <si>
    <t>INSUMOS</t>
  </si>
  <si>
    <t>Agua</t>
  </si>
  <si>
    <t>Cloruro de sodio</t>
  </si>
  <si>
    <t>Citrato trisodico</t>
  </si>
  <si>
    <t>Fosfato di-potásico</t>
  </si>
  <si>
    <t>Sacaroza</t>
  </si>
  <si>
    <t>Fructosa</t>
  </si>
  <si>
    <t>Acido cítrico</t>
  </si>
  <si>
    <t>Kg.</t>
  </si>
  <si>
    <t>m3</t>
  </si>
  <si>
    <t>SUBTOTAL INSUMOS</t>
  </si>
  <si>
    <t>Sabor mandarina</t>
  </si>
  <si>
    <t>Sabor limòn</t>
  </si>
  <si>
    <t>Sabor fresa</t>
  </si>
  <si>
    <t>Sabor manzana</t>
  </si>
  <si>
    <t>Sabor naranja</t>
  </si>
  <si>
    <t>Sabor mango</t>
  </si>
  <si>
    <t>SUBTOTAL SABORIZANTES</t>
  </si>
  <si>
    <t>SABORIZANTES</t>
  </si>
  <si>
    <t>COLORANTES</t>
  </si>
  <si>
    <t>Color limón</t>
  </si>
  <si>
    <t>Color Mandarina</t>
  </si>
  <si>
    <t>Color Mango</t>
  </si>
  <si>
    <t>Color Manzana</t>
  </si>
  <si>
    <t>Color Fresa</t>
  </si>
  <si>
    <t>Color Naranja</t>
  </si>
  <si>
    <t>SUBTOTAL COLORANTES</t>
  </si>
  <si>
    <t>TOTAL DE INSUMOS SABORIZANTES Y COLORANTES</t>
  </si>
  <si>
    <t>EMPAQUES</t>
  </si>
  <si>
    <t>envase de plastico 475 ml</t>
  </si>
  <si>
    <t>bolsa plastica de 500 ml</t>
  </si>
  <si>
    <t>bolsa plastica de 300 ml</t>
  </si>
  <si>
    <t xml:space="preserve">etiquetas </t>
  </si>
  <si>
    <t>empaque bolsa de 500 ml</t>
  </si>
  <si>
    <t>empaque bolsa de 300 ml</t>
  </si>
  <si>
    <t>caja empaque de envase</t>
  </si>
  <si>
    <t>plastico caja de empaque</t>
  </si>
  <si>
    <t>SUBTOTAL EMPAQUES</t>
  </si>
  <si>
    <t>TOTAL MATERIA PRIMA DIRECTA</t>
  </si>
  <si>
    <t>kg</t>
  </si>
  <si>
    <t>Unidad</t>
  </si>
  <si>
    <t>NOMINA AREA DE PRODUCCIÒN</t>
  </si>
  <si>
    <t>CARGO</t>
  </si>
  <si>
    <t>SALARIO BASICO</t>
  </si>
  <si>
    <t>AUXILIO DE TRANSPORTE</t>
  </si>
  <si>
    <t>TOTAL DEVENGADO</t>
  </si>
  <si>
    <t>CESANTIAS</t>
  </si>
  <si>
    <t>INTERESES SOBRE CESANTIAS</t>
  </si>
  <si>
    <t>PRIMA DE SERVICIOS</t>
  </si>
  <si>
    <t>VACACIONES</t>
  </si>
  <si>
    <t>PENSIÒN</t>
  </si>
  <si>
    <t>SALUD</t>
  </si>
  <si>
    <t>RIESGOS PROFESIONALES</t>
  </si>
  <si>
    <t>TOTAL NOMINA MENSUAL</t>
  </si>
  <si>
    <t>TOTAL NOMINA ANUAL</t>
  </si>
  <si>
    <t>FACTORES</t>
  </si>
  <si>
    <t>OPERARIO 1</t>
  </si>
  <si>
    <t>OPERARIO 2</t>
  </si>
  <si>
    <t>TOTALES</t>
  </si>
  <si>
    <t>DOTACION NOMINA DE PRODUCCIÒN</t>
  </si>
  <si>
    <t>DOTACIÒN</t>
  </si>
  <si>
    <t>CANTIDAD DE OPERARIOS</t>
  </si>
  <si>
    <t>TOTAL</t>
  </si>
  <si>
    <t>VALOR UNITARIO</t>
  </si>
  <si>
    <t>overoles</t>
  </si>
  <si>
    <t>tapabocas</t>
  </si>
  <si>
    <t>guantes</t>
  </si>
  <si>
    <t>botas</t>
  </si>
  <si>
    <t>NOMINA AREA DE ADMINISTRACIÒN</t>
  </si>
  <si>
    <t>PROVISIONES</t>
  </si>
  <si>
    <t>GERENTE</t>
  </si>
  <si>
    <t>SECRETARA</t>
  </si>
  <si>
    <t>DOTACION AREA DE ADMINISTRACIÒN</t>
  </si>
  <si>
    <t>CANTIDAD POR FUNCIONARIOS</t>
  </si>
  <si>
    <t>Uniformes para la secretaria</t>
  </si>
  <si>
    <t>zapatos para la secretaria</t>
  </si>
  <si>
    <t xml:space="preserve">TOTALES </t>
  </si>
  <si>
    <t>NOMINA AREA DE VENTAS</t>
  </si>
  <si>
    <t>Subgerente de ventas</t>
  </si>
  <si>
    <t>DOTACION AREA DE VENTAS</t>
  </si>
  <si>
    <t>NUMERO DE TRABAJADORES</t>
  </si>
  <si>
    <t>Overoles</t>
  </si>
  <si>
    <t>CALCULO DE DEPRECIACIÒN</t>
  </si>
  <si>
    <t>NOMBRE DEL ACTIVO</t>
  </si>
  <si>
    <t>V/R UNITARIO</t>
  </si>
  <si>
    <t>VR TOTAL</t>
  </si>
  <si>
    <t>VIDA UTIL</t>
  </si>
  <si>
    <t>V/R LIBROS</t>
  </si>
  <si>
    <t>ACTIVOS AREA DE PRODUCCIÒN</t>
  </si>
  <si>
    <t>Filtros Ametek 1/2 pulgada.</t>
  </si>
  <si>
    <t>Planta de Ozono.</t>
  </si>
  <si>
    <t>Esterilizador de bolsa y envase en acero quirúrgico.</t>
  </si>
  <si>
    <t>Tanque de almacenamiento con tapa.</t>
  </si>
  <si>
    <t>Aspa con bandeja de acero inoxidable.</t>
  </si>
  <si>
    <t>Mesa con bandeja de acero de 0,75 m por 1,20 m.</t>
  </si>
  <si>
    <t>Selladora de bolsa plástica.</t>
  </si>
  <si>
    <t>Mesa para selladora.</t>
  </si>
  <si>
    <t>Motor de HP.</t>
  </si>
  <si>
    <t>Brazo del motor.</t>
  </si>
  <si>
    <t>Estibas de madera.</t>
  </si>
  <si>
    <t>Un metro de tubería en acero inoxidable 1/2".</t>
  </si>
  <si>
    <t>Balanza electrónica.</t>
  </si>
  <si>
    <t>Estantería metálica.</t>
  </si>
  <si>
    <t>Canastillas plásticas.</t>
  </si>
  <si>
    <t>Escalera metálica portátil.</t>
  </si>
  <si>
    <t>Dispensador de líquidos.</t>
  </si>
  <si>
    <t>Móvil (carreta)</t>
  </si>
  <si>
    <t>Selladora de tapa.</t>
  </si>
  <si>
    <t>Secador de manos eléctrico.</t>
  </si>
  <si>
    <t>Dispensador de jabón.</t>
  </si>
  <si>
    <t>Casillero de cuatro cajones.</t>
  </si>
  <si>
    <t xml:space="preserve">SUBTOTAL AREA DE PRODUCCIÒN  </t>
  </si>
  <si>
    <t>ACTIVOS AREA DE ADMON</t>
  </si>
  <si>
    <t>Escritorios sencillos.</t>
  </si>
  <si>
    <t>Sillas Rimax.</t>
  </si>
  <si>
    <t>Sillas para escritorio.</t>
  </si>
  <si>
    <t>Computador – dtk.</t>
  </si>
  <si>
    <t>Impresora de matriz de puntos.</t>
  </si>
  <si>
    <t>Módulo de recepción.</t>
  </si>
  <si>
    <t>Sumadora Truly sencilla.</t>
  </si>
  <si>
    <t>Software Office y Windows.</t>
  </si>
  <si>
    <t>Teléfonos.</t>
  </si>
  <si>
    <t>Fax Pannasonic.</t>
  </si>
  <si>
    <t>Papelera doble.</t>
  </si>
  <si>
    <t>Caneca de basura.</t>
  </si>
  <si>
    <t>Archivador de madera.</t>
  </si>
  <si>
    <t>Estabilizador de energía.</t>
  </si>
  <si>
    <t>Basureras pequeñas.</t>
  </si>
  <si>
    <t>SUBTOTAL AREA DE ADMON</t>
  </si>
  <si>
    <t>TOTAL DEPRECIACIÒN</t>
  </si>
  <si>
    <t>CUADRO RESUMEN DE COSTOS Y GASTOS</t>
  </si>
  <si>
    <t>CONCEPTO</t>
  </si>
  <si>
    <t>Factor de Inflacción</t>
  </si>
  <si>
    <t>COSTOS VARIABLES DE PRODUCCIÒN</t>
  </si>
  <si>
    <t>Materiales directos</t>
  </si>
  <si>
    <t>Mano de obra directa</t>
  </si>
  <si>
    <t>Gastos de dotación</t>
  </si>
  <si>
    <t>SUBTOTAL MATERIALES DIRECTOS</t>
  </si>
  <si>
    <t xml:space="preserve">COSTOS INDIRECTOS </t>
  </si>
  <si>
    <t>Depreciación de activos</t>
  </si>
  <si>
    <t xml:space="preserve">Servicio públicos </t>
  </si>
  <si>
    <t>Mantenimiento</t>
  </si>
  <si>
    <t>Gastos de arrendamientos</t>
  </si>
  <si>
    <t>Amortización de diferidos</t>
  </si>
  <si>
    <t>SUBTOTAL COSTOS INDIRECTOS</t>
  </si>
  <si>
    <t>SUBTOTAL COSTOS DE PRODUCCIÓN</t>
  </si>
  <si>
    <t>GASTOS DE ADMINISTRACIÓN</t>
  </si>
  <si>
    <t>Nómina</t>
  </si>
  <si>
    <t>Honorarios</t>
  </si>
  <si>
    <t xml:space="preserve">Gastos de arrendamiento </t>
  </si>
  <si>
    <t>Impuesto de cámara de comercio</t>
  </si>
  <si>
    <t>Útiles y papelería</t>
  </si>
  <si>
    <t>amortización de diferidos</t>
  </si>
  <si>
    <t>Servicio de alarma</t>
  </si>
  <si>
    <t>Aporte Bomberos</t>
  </si>
  <si>
    <t>Implementos de aseo</t>
  </si>
  <si>
    <t>SUBTOTAL GASTOS DE ADMINISTRACIÓN</t>
  </si>
  <si>
    <t>GASTOS EN VENTAS</t>
  </si>
  <si>
    <t>Comisión de dos vendedores</t>
  </si>
  <si>
    <t>Impuesto de Industria y Comercio</t>
  </si>
  <si>
    <t>Gastos de transporte</t>
  </si>
  <si>
    <t>Gastos de publicidad</t>
  </si>
  <si>
    <t>Gastos de promoción</t>
  </si>
  <si>
    <t>Gastos de arrendamiento</t>
  </si>
  <si>
    <t>SUBTOTAL GASTOS EN VENTAS</t>
  </si>
  <si>
    <t>TOTAL DE COSTOS Y GASTOS</t>
  </si>
  <si>
    <t>Gastos financieros</t>
  </si>
  <si>
    <t>TOTAL DE COSTOS Y GASTOS MAS GASTOS FINANCIEROS</t>
  </si>
  <si>
    <t>CUENTAS</t>
  </si>
  <si>
    <t xml:space="preserve">A Ñ O 1 </t>
  </si>
  <si>
    <t>Envase de 473 ml</t>
  </si>
  <si>
    <t>Bolsa de 500 ml</t>
  </si>
  <si>
    <t>Bolsa de 300 ml</t>
  </si>
  <si>
    <t>UNIDADES PRODUCIDAS</t>
  </si>
  <si>
    <t>PRECIO DE VENTA</t>
  </si>
  <si>
    <t>COSTOS VARIABLES</t>
  </si>
  <si>
    <t>Ingredientes</t>
  </si>
  <si>
    <t>Envase y bolsa</t>
  </si>
  <si>
    <t>Etiqueta</t>
  </si>
  <si>
    <t>Empaques</t>
  </si>
  <si>
    <t>Plásticos</t>
  </si>
  <si>
    <t>TOTAL COSTOS VARIABLES</t>
  </si>
  <si>
    <t>CALCULO DE COSTOS UNITARIOS</t>
  </si>
  <si>
    <t>PROPORCIONES DE PRODUCCION</t>
  </si>
  <si>
    <t>COMISIÓN DE VENDEDORES</t>
  </si>
  <si>
    <t>COSTOS FIJOS</t>
  </si>
  <si>
    <t>Concepto</t>
  </si>
  <si>
    <t>Cantidad</t>
  </si>
  <si>
    <t>Año 1</t>
  </si>
  <si>
    <t>Año 2</t>
  </si>
  <si>
    <t>Año 3</t>
  </si>
  <si>
    <t>Año 4</t>
  </si>
  <si>
    <t>Año 5</t>
  </si>
  <si>
    <t>Para el consumidor.</t>
  </si>
  <si>
    <t>Maletines.</t>
  </si>
  <si>
    <t>Bicicleteros.</t>
  </si>
  <si>
    <t>Bolso canguro.</t>
  </si>
  <si>
    <t>Llaveros.</t>
  </si>
  <si>
    <t>Promoción de bebidas.</t>
  </si>
  <si>
    <t>Envase 473 ml.</t>
  </si>
  <si>
    <t>Bolso 500 ml.</t>
  </si>
  <si>
    <t>Bolsa 300 ml.</t>
  </si>
  <si>
    <t>Degustación.</t>
  </si>
  <si>
    <t>Promoción minoristas.</t>
  </si>
  <si>
    <t>Descuento del 20%.</t>
  </si>
  <si>
    <t>Obsequio de bebidas.</t>
  </si>
  <si>
    <t>Bolsa 500 ml.</t>
  </si>
  <si>
    <t>Bolsa de 300 ml.</t>
  </si>
  <si>
    <t>Costo unit</t>
  </si>
  <si>
    <t>Valor total</t>
  </si>
  <si>
    <t>cantidad</t>
  </si>
  <si>
    <t>TOTAL GASTOS DE PROMOCIÓN Y PUBLICIDAD</t>
  </si>
  <si>
    <t>Medio</t>
  </si>
  <si>
    <t>Valor unitario</t>
  </si>
  <si>
    <t>Número de pautas publicitarias</t>
  </si>
  <si>
    <t>Radio.</t>
  </si>
  <si>
    <t>Prensa.</t>
  </si>
  <si>
    <t>Televisión.</t>
  </si>
  <si>
    <t>Valor Total</t>
  </si>
  <si>
    <t>Grapadoras medianas.</t>
  </si>
  <si>
    <t>Saca – ganchos.</t>
  </si>
  <si>
    <t>Extintor de incendios tipo ABC</t>
  </si>
  <si>
    <t>TOTAL COSTOS FIJOS + VARIABLES</t>
  </si>
  <si>
    <t>COTO UNITARIO</t>
  </si>
  <si>
    <t>CALCULO DEL PUNTO DE EQUILIBRIO</t>
  </si>
  <si>
    <t>VALORES</t>
  </si>
  <si>
    <t>PORCENTAJES</t>
  </si>
  <si>
    <t>Ventas</t>
  </si>
  <si>
    <t>Menos: costos variables</t>
  </si>
  <si>
    <t>Margen de contribuciòn</t>
  </si>
  <si>
    <t>punto de quilibrio en pesos</t>
  </si>
  <si>
    <t>MARGEN DE CONTRIBUCION UNITARIO</t>
  </si>
  <si>
    <t>PUNTO DE EQUILIBRIO EN UNIDADES</t>
  </si>
  <si>
    <t>COMPROBACIÓN</t>
  </si>
  <si>
    <t>UNIDADES</t>
  </si>
  <si>
    <t>VENTAS</t>
  </si>
  <si>
    <t>COSTOS FIJOS+ COSTOS VARIABLES</t>
  </si>
  <si>
    <t>PRECIO UNITARIO DE VTAS</t>
  </si>
  <si>
    <t>PUNTO DE QUILIBRIO EN $</t>
  </si>
  <si>
    <t>PUNTO DE EQUILIBRIO EN UNIDS</t>
  </si>
  <si>
    <t>GRAFICA DEL PUNTO DE EQUILIBRIO
ENVSE DE 473 ml
AÑO 1</t>
  </si>
  <si>
    <t>GRAFICA DEL PUNTO DE EQUILIBRIO
BOLSA DE 500 ml
AÑO 1</t>
  </si>
  <si>
    <t>GRAFICA DEL PUNTO DE EQUILIBRIO
BOLSA DE 300 ml
AÑO 1</t>
  </si>
  <si>
    <t>FALTA GRAFICA DE 500 ml</t>
  </si>
  <si>
    <t>FALTA GRAFICA DE 300 ml</t>
  </si>
  <si>
    <t>DESCRIPCIÓN</t>
  </si>
  <si>
    <t>MESES</t>
  </si>
  <si>
    <t>VALOR TOTAL</t>
  </si>
  <si>
    <t>EFECTIVO</t>
  </si>
  <si>
    <t>Nomina de área de producción</t>
  </si>
  <si>
    <t>Nómina de administración</t>
  </si>
  <si>
    <t>Nómina de ventas</t>
  </si>
  <si>
    <t>CAPITAL DE TRABAJO</t>
  </si>
  <si>
    <t>Servicios publicos</t>
  </si>
  <si>
    <t>Arrendamientos</t>
  </si>
  <si>
    <t>Gastos de papelería</t>
  </si>
  <si>
    <t>Gastos de dotación de nominade producción y administración</t>
  </si>
  <si>
    <t>Inventario de materia prima directa</t>
  </si>
  <si>
    <t>SUBTOTAL EFECTIVO</t>
  </si>
  <si>
    <t>ACTIVOS FIJOS</t>
  </si>
  <si>
    <t>ACTIVOS DIFERIDOS</t>
  </si>
  <si>
    <t>VALOR</t>
  </si>
  <si>
    <t>(En pesos)</t>
  </si>
  <si>
    <t>GASTOS PRE-OPERATIVOS</t>
  </si>
  <si>
    <t>Estudio de factibilidad.</t>
  </si>
  <si>
    <t>Contratación de personal.</t>
  </si>
  <si>
    <t>Capacitación de personal.</t>
  </si>
  <si>
    <t>Experimentación del producto.</t>
  </si>
  <si>
    <t>Análisis de laboratorio.</t>
  </si>
  <si>
    <t>SUBTOTAL GASTOS PRE-OPERATIVOS.</t>
  </si>
  <si>
    <t>ADECUACIÓN LOCATIVAS.</t>
  </si>
  <si>
    <t>Instalaciones eléctricas.</t>
  </si>
  <si>
    <t>Construcción de plancha para tanque de almacenamiento.</t>
  </si>
  <si>
    <t>Instalaciones para recepción del agua.</t>
  </si>
  <si>
    <t>División para oficina.</t>
  </si>
  <si>
    <t>Red telefónica.</t>
  </si>
  <si>
    <t>Curvatura de unión del piso con la pared.</t>
  </si>
  <si>
    <t>AMORTIZAIÓN DE ACTIVOS DIFERIDOS</t>
  </si>
  <si>
    <t>SUBTOTAL ADECUACIONES LOCATIVAS.</t>
  </si>
  <si>
    <t>AREAS</t>
  </si>
  <si>
    <t>GASTOS DE CONSTITUCIÓN.</t>
  </si>
  <si>
    <t>AREA DE PRODUCCIÓN</t>
  </si>
  <si>
    <t xml:space="preserve">Escritura pública. </t>
  </si>
  <si>
    <t>AREA DE ADMINISTRACIÓN</t>
  </si>
  <si>
    <t>Registro en la oficina de instrumentos públicos.</t>
  </si>
  <si>
    <t>AREA DE VENTAS</t>
  </si>
  <si>
    <t>Permiso de uso de suelos.</t>
  </si>
  <si>
    <t>Registro sanitario (INVIMA)</t>
  </si>
  <si>
    <t>Instalaciones de equipos de producción.</t>
  </si>
  <si>
    <t>SUBTOTAL GASTOS DE CONSTITUCIÓN.</t>
  </si>
  <si>
    <t>TOTAL INVERSIÓN EN ACTIVOS INTANGIBLES.</t>
  </si>
  <si>
    <t>PERIODO DE AMORTIZACION</t>
  </si>
  <si>
    <t>VALOR A AMORTIZAR</t>
  </si>
  <si>
    <t>TOTAL CAPITAL DE TRABAJO</t>
  </si>
  <si>
    <t>BALANCE GENERAL INICIAL</t>
  </si>
  <si>
    <t>ACTIVOS</t>
  </si>
  <si>
    <t>Bancos</t>
  </si>
  <si>
    <t>Inventario de materia prima</t>
  </si>
  <si>
    <t>SUBTOTAL ACTIVO CORRIENTE</t>
  </si>
  <si>
    <t>ACTIVO CORRIENTE</t>
  </si>
  <si>
    <t>Propiedad Planta y Equipo</t>
  </si>
  <si>
    <t xml:space="preserve">Gastos de constitución </t>
  </si>
  <si>
    <t>TOTAL ACTIVOS</t>
  </si>
  <si>
    <t>TABLA DE AMORTIZACIÓN DEL CRÉDITO</t>
  </si>
  <si>
    <t>VALOR SOLICITADO</t>
  </si>
  <si>
    <t>TASA DE INTERES</t>
  </si>
  <si>
    <t>PERIODO DE AMORTIZACIÓN</t>
  </si>
  <si>
    <t>ANUALIDAD A PAGAR</t>
  </si>
  <si>
    <t>AMORTIZACIÓN DEL CRÉDITO</t>
  </si>
  <si>
    <t>PERIDOS</t>
  </si>
  <si>
    <t>ANUALIDAD</t>
  </si>
  <si>
    <t>INTERESES</t>
  </si>
  <si>
    <t>ABONO A CAPITAL</t>
  </si>
  <si>
    <t>SALDO DEL CRÉDITO</t>
  </si>
  <si>
    <t>PASIVOS</t>
  </si>
  <si>
    <t>PASIVOS A LARGO PLAZO</t>
  </si>
  <si>
    <t>Credito bancario</t>
  </si>
  <si>
    <t>SUBTOTAL PASIVO A LARGO PLAZO</t>
  </si>
  <si>
    <t>PATRIMONIO</t>
  </si>
  <si>
    <t>Aporte socios</t>
  </si>
  <si>
    <t>SUBTOTAL PATRIMONIO</t>
  </si>
  <si>
    <t>TOTAL PASIVOS MAS PATRIMONIO</t>
  </si>
  <si>
    <t>ASIENTOS CONTABLES</t>
  </si>
  <si>
    <t>DEBE</t>
  </si>
  <si>
    <t>HABER</t>
  </si>
  <si>
    <t>PRESUPUESTO DE VENTAS</t>
  </si>
  <si>
    <t>ENVASE DE 473 ml</t>
  </si>
  <si>
    <t>BOLSA DE 500 ml</t>
  </si>
  <si>
    <t>BOLSA DE 300 ml</t>
  </si>
  <si>
    <t>PRECIO UNITARIO DE VENTA</t>
  </si>
  <si>
    <t>INGRESOS ANUALES POR VENTA</t>
  </si>
  <si>
    <t>TOTAL VENTAS VENTAS ANUALES</t>
  </si>
  <si>
    <t>Caja</t>
  </si>
  <si>
    <t xml:space="preserve">  Ventas</t>
  </si>
  <si>
    <t>Ventas de contado</t>
  </si>
  <si>
    <t xml:space="preserve">  Caja</t>
  </si>
  <si>
    <t>Consignacion de efectivo</t>
  </si>
  <si>
    <t>Costos de producción</t>
  </si>
  <si>
    <t>SUMAS IGUALES</t>
  </si>
  <si>
    <t>Gastos de admon</t>
  </si>
  <si>
    <t>Gastos en ventas</t>
  </si>
  <si>
    <t>Registro de g de admon</t>
  </si>
  <si>
    <t>Registro de g de ventas</t>
  </si>
  <si>
    <t>Registto de C de produc.</t>
  </si>
  <si>
    <t>Amortización a capital</t>
  </si>
  <si>
    <t>Gastos financieros (Intereses del crédito)</t>
  </si>
  <si>
    <t xml:space="preserve">  Bancos</t>
  </si>
  <si>
    <t>Amortización crédito</t>
  </si>
  <si>
    <t>RESUMEN</t>
  </si>
  <si>
    <t>Gastos de administración</t>
  </si>
  <si>
    <t xml:space="preserve">Amortización capital </t>
  </si>
  <si>
    <t xml:space="preserve">  Depreciación activos</t>
  </si>
  <si>
    <t xml:space="preserve">  Amortización de diferidos</t>
  </si>
  <si>
    <t>CUENTA</t>
  </si>
  <si>
    <t>DEBITO</t>
  </si>
  <si>
    <t>CREDITO</t>
  </si>
  <si>
    <t>HOJA DE TRABAJO No. 1</t>
  </si>
  <si>
    <t>BALANCE DE COMPROBACIÓN</t>
  </si>
  <si>
    <t>AJUSTES</t>
  </si>
  <si>
    <t>SALDOS AJUSTADOS</t>
  </si>
  <si>
    <t>P&amp;G</t>
  </si>
  <si>
    <t>BALANCE GENERAL</t>
  </si>
  <si>
    <t xml:space="preserve">DEBE </t>
  </si>
  <si>
    <t>Activos fijos</t>
  </si>
  <si>
    <t>Depreciación acumulada</t>
  </si>
  <si>
    <t>Activos diferidos</t>
  </si>
  <si>
    <t>Obligaciones Bancarias</t>
  </si>
  <si>
    <t>Gastos financieros (intereses del crédito)</t>
  </si>
  <si>
    <t>Gastos de producción</t>
  </si>
  <si>
    <t>Capital social</t>
  </si>
  <si>
    <t>Reserva legal</t>
  </si>
  <si>
    <t>Otras reservas</t>
  </si>
  <si>
    <t>Utilidad del ejercicio</t>
  </si>
  <si>
    <t>Pérdida del ejercicio</t>
  </si>
  <si>
    <t>Impuesto de renta por pagar</t>
  </si>
  <si>
    <t>Menos: Impuesto de renta 34%:</t>
  </si>
  <si>
    <t>Utilidad después de impuestos</t>
  </si>
  <si>
    <t>Menos: reserva legal 10%</t>
  </si>
  <si>
    <t>Utilidad por distribuir</t>
  </si>
  <si>
    <t>BALANCE GENERAL PROYECTADO</t>
  </si>
  <si>
    <t>ACTIVO</t>
  </si>
  <si>
    <t>ACTIVO FIJO</t>
  </si>
  <si>
    <t>Activo fijo</t>
  </si>
  <si>
    <t>Menos: Depreciación Acumulada</t>
  </si>
  <si>
    <t>SUBTOTAL ACTIVOS FIJOS</t>
  </si>
  <si>
    <t>OTRO ACTIVOS</t>
  </si>
  <si>
    <t>Activos Diferidos</t>
  </si>
  <si>
    <t>Menos: Amortización de diferidos</t>
  </si>
  <si>
    <t>SUBTOTAL OTROS ACTIVOS</t>
  </si>
  <si>
    <t>PASIVO CORRIENTE</t>
  </si>
  <si>
    <t>Porción corriente de obligaciones bancarias a largo plazo</t>
  </si>
  <si>
    <t>SUBTOTAL PASIVO CORRIENTE</t>
  </si>
  <si>
    <t>PASIVO A LARGO PLAZO</t>
  </si>
  <si>
    <t>Obligaciones bancarias</t>
  </si>
  <si>
    <t>TOTAL PASIVOS</t>
  </si>
  <si>
    <t>Capital pagado</t>
  </si>
  <si>
    <t>Utilidad (o pérdida) del ejercicio</t>
  </si>
  <si>
    <t>TOTAL PASIVO MAS PATRIMONIO</t>
  </si>
  <si>
    <t>ESTADO DE PÉRDIDAS Y GANANCIAS PROYECTADO</t>
  </si>
  <si>
    <t>A Ñ O 1</t>
  </si>
  <si>
    <t>A Ñ O 2</t>
  </si>
  <si>
    <t>A Ñ O 3</t>
  </si>
  <si>
    <t>A Ñ O 4</t>
  </si>
  <si>
    <t>A Ñ O 5</t>
  </si>
  <si>
    <t>Ventas Brutas</t>
  </si>
  <si>
    <t>Menos: Descuentos en Ventas</t>
  </si>
  <si>
    <t>VENTAS NETAS</t>
  </si>
  <si>
    <t>Menos: COSTOS EN VENTAS</t>
  </si>
  <si>
    <t>Inv. Inicial de Materias primas</t>
  </si>
  <si>
    <t>Más: Costos de producción</t>
  </si>
  <si>
    <t>Menos: Inventario final de materias primas</t>
  </si>
  <si>
    <t>TOTAL COSTOS EN VENTAS</t>
  </si>
  <si>
    <t>UTILIDAD BRUTA EN VENTAS</t>
  </si>
  <si>
    <t>Menos: GASTOS OPERACIONALES</t>
  </si>
  <si>
    <t xml:space="preserve">              Gastos de Administración</t>
  </si>
  <si>
    <t xml:space="preserve">              Gastos en Ventas</t>
  </si>
  <si>
    <t xml:space="preserve">              Gastos Generales</t>
  </si>
  <si>
    <t>Otros gastos (Pérdida el ejercicio)</t>
  </si>
  <si>
    <t>TOTAL GASTOS OPERACIONALES</t>
  </si>
  <si>
    <t>UTILIDAD OPERACIONAL</t>
  </si>
  <si>
    <t>Mas: OTROS INGRESOS</t>
  </si>
  <si>
    <t xml:space="preserve">              Rendimientos de inversiones</t>
  </si>
  <si>
    <t>MENOS: Gastos financieros</t>
  </si>
  <si>
    <t>UTILIDAD ANTES DE IMPUESTOS</t>
  </si>
  <si>
    <t>Menos: Provisión para impuestos de renta</t>
  </si>
  <si>
    <t>UTILIDAD NETA</t>
  </si>
  <si>
    <t>Menos: 10% reserva legal</t>
  </si>
  <si>
    <t>UTILIDAD POR DISTRIBUIR</t>
  </si>
  <si>
    <t>RAZONES E INDICADORES FINANCIEROS</t>
  </si>
  <si>
    <t>Indicador</t>
  </si>
  <si>
    <t>Razón</t>
  </si>
  <si>
    <t>Formula</t>
  </si>
  <si>
    <t>Análisis</t>
  </si>
  <si>
    <r>
      <rPr>
        <sz val="18"/>
        <rFont val="Arial"/>
        <family val="2"/>
      </rPr>
      <t>LIQUIDEZ</t>
    </r>
    <r>
      <rPr>
        <sz val="10"/>
        <rFont val="Arial"/>
        <family val="2"/>
      </rPr>
      <t xml:space="preserve">
</t>
    </r>
    <r>
      <rPr>
        <sz val="14"/>
        <rFont val="Arial"/>
        <family val="2"/>
      </rPr>
      <t>Estos indicadores miden la capacidad que tiene el proyecto para cancelar sus obligaciones de corto plazo. Sirven para establecer la facilidad o dificultad que presenta una organización para pagar sus pasivos corrientes con el producto de convertir a efectivo sus activos corrientes.</t>
    </r>
  </si>
  <si>
    <t>Razón Corriente</t>
  </si>
  <si>
    <t xml:space="preserve">     Activo corriente
.= --------------------------
     Pasivo corriente</t>
  </si>
  <si>
    <t>Se interpreta diciendo que el proyecto tendrá una razón corriente de 5.67 para el primer año. Esto quiere decir, que por cada peso que se debe en el corto plazo, se cuenta con aproximadamente 6 pesos para respaldar esa obligación. De igual forma para los años 2,3,4 y 5.</t>
  </si>
  <si>
    <t>Prueba acida</t>
  </si>
  <si>
    <t xml:space="preserve">     Activo corriente - Inventarios
= --------------------------------------------
      Pasivo corriente</t>
  </si>
  <si>
    <t>Se conoce también con el nombre de prueba del ácido o liquidez seca. Es un tés más riguroso, el cual pretende verificar la capacidad del proyecto para cancelar sus obligaciones corrientes pero sin depender de la venta de sus existencias, es decir, básicamente con su saldo en efectivo.
Se interpreta diciendo que el proyecto presenta una prueba ácida de 1.90 para el primer año, lo que quiere decir que por cada peso que se debe a corto plazo se cuenta, para su cancelación, con 1.90 pesos en activos corrientes de fácil realización, sin tener que recurrir a la venta de inventarios.</t>
  </si>
  <si>
    <r>
      <rPr>
        <sz val="18"/>
        <rFont val="Arial"/>
        <family val="2"/>
      </rPr>
      <t>Endeudamiento</t>
    </r>
    <r>
      <rPr>
        <sz val="14"/>
        <rFont val="Arial"/>
        <family val="2"/>
      </rPr>
      <t xml:space="preserve">
Los indicadores de endeudamiento tienen por objeto medir en que grado y de qué forma participan los acreedores dentro del financiamiento del proyecto. De la misma manera se trata de establecer el riesgo que corren tales acreedores, el riesgo de los dueños y la conveniencia o inconveniencia de un determinado nivel de endeudamiento para el proyecto.</t>
    </r>
  </si>
  <si>
    <t>Nivel de endeudamiento</t>
  </si>
  <si>
    <t xml:space="preserve">   Total Pasivo con terceros
=  -----------------------------------------
Total activos</t>
  </si>
  <si>
    <t>El proyecto presenta un nivel de endeudamiento de 0.39 para el primer año, lo que significa que por cada peso que la empresa tiene invertido en activos, 39 centavos han sido financiados por los acreedores en este caso por el crédito bancario.</t>
  </si>
  <si>
    <t>Concentración del endeudamiento en el corto plazo</t>
  </si>
  <si>
    <t>Pasivo corriente
= -------------------------------------------
Total pasivo con terceros</t>
  </si>
  <si>
    <t>Este indicador establece qué porcentaje del total del pasivo con terceros tiene vencimiento corriente, es decir, a menos de un año.
Se interpreta este indicador diciendo que por cada peso de deuda que el proyecto tiene con terceros , 18 centavos tienen vencimiento corriente. O, lo que es igual, que el 18% de los pasivos tienen vencimiento en menos de un año.</t>
  </si>
  <si>
    <t>Cobertura de Intereses</t>
  </si>
  <si>
    <t>Utilidad de operación
= ----------------------------------------
Intereses pagados</t>
  </si>
  <si>
    <t>Este indicador se interpreta diciendo que el proyecto genera, durante el período, una utilidad operacional del 0.44 veces superior a los intereses pagados. Es decir que el proyecto dispone de una capacidad de endeudamiento razonable para este primer año de operaciones.</t>
  </si>
  <si>
    <t>Lavarage total</t>
  </si>
  <si>
    <t>Pasivo total con terceros
= -------------------------------------------
Patrimonio</t>
  </si>
  <si>
    <t>Este indicador mide el grado de compromiso del patrimonio de los socios o accionistas para con los acreedores del proyecto. El proyecto tiene por cada peso de patrimonio, se tienen deudas por 64 centavos. Se podría decir también que cada peso de los dueños está comprometido en un 64%.</t>
  </si>
  <si>
    <t>Lavarage a corto plazo</t>
  </si>
  <si>
    <t>Total pasivo corriente
= ---------------------------------------
Patrimonio</t>
  </si>
  <si>
    <t>Se interpreta diciendo que el proyecto tendrá una razón corriente de 0,12 para el primer año. Esto quiere decir, que por cada peso que se debe en el corto plazo, se cuenta con aproximadamente12 centavos para respaldar esa obligación. De igual forma para los años 2,3,4 y 5.</t>
  </si>
  <si>
    <t>Lavarage Financiero total</t>
  </si>
  <si>
    <r>
      <rPr>
        <sz val="11"/>
        <rFont val="Arial"/>
        <family val="2"/>
      </rPr>
      <t>Pasivos totales con entidades financieras</t>
    </r>
    <r>
      <rPr>
        <sz val="12"/>
        <rFont val="Arial"/>
        <family val="2"/>
      </rPr>
      <t xml:space="preserve">
= ------------------------------------------------------
Patrimonio</t>
    </r>
  </si>
  <si>
    <t>Se interpreta diciendo que el proyecto tendrá una razón corriente de 0,64 para el primer año. Esto quiere decir, que por cada peso que se debe en el corto plazo, se cuenta con aproximadamente 6 centavos para respaldar esa obligación. De igual forma para los años 2,3,4 y 5.</t>
  </si>
  <si>
    <r>
      <rPr>
        <sz val="18"/>
        <rFont val="Arial"/>
        <family val="2"/>
      </rPr>
      <t xml:space="preserve">Actividad
</t>
    </r>
    <r>
      <rPr>
        <sz val="14"/>
        <rFont val="Arial"/>
        <family val="2"/>
      </rPr>
      <t>Estos indicadores, llamados también indicadores de rotación, tratan de medir la eficiencia con la cual una organización utiliza sus activos, según la velocidad de recuperación de los valores aplicados a ellos.</t>
    </r>
  </si>
  <si>
    <t>Rotación de activo fijo
(Número de veces que rota)</t>
  </si>
  <si>
    <t>Ventas
= -----------------------------
Activo fijo bruto</t>
  </si>
  <si>
    <t>El resultado para el primer año de operaciones indica que los activos fijos rotaron 14.43 veces en el año. Lo que significa que las ventas son superiores a los activos fijos, es decir, que por cada peso invertido en activos fijos se general 14.42 pesos en ventas en este año.</t>
  </si>
  <si>
    <t>Rotación de activos operacionales 
(número de veces)</t>
  </si>
  <si>
    <t>Ventas
= -------------------------------------------
Activo operacional bruto</t>
  </si>
  <si>
    <r>
      <t xml:space="preserve">El resultado del año uno indica que los activos operacionales rotaron 8,68 veces en el año, es decir, que cada peso invertido en activos operacionales genero 8,68 pesos.
</t>
    </r>
    <r>
      <rPr>
        <b/>
        <sz val="14"/>
        <rFont val="Arial"/>
        <family val="2"/>
      </rPr>
      <t>NOTA</t>
    </r>
    <r>
      <rPr>
        <sz val="12"/>
        <rFont val="Arial"/>
        <family val="2"/>
      </rPr>
      <t>: Se incluyen en el rubro de activos operacionales todos aquellos activos que tienen relación directa con el desarrollo del objeto social de la empresa, tales como cuentas por cobrar, los inventarios y los activos fijos.</t>
    </r>
  </si>
  <si>
    <t>Rotación de activos totales
(número de veces)</t>
  </si>
  <si>
    <t>Ventas
= --------------------------------------------
Activos totales brutos</t>
  </si>
  <si>
    <t>La rotación de activos totales es de 14.43 para el primer año, lo cual indica que los activos totales rotaron 14.43 veces en el año uno, en otras palabras se puede decir que por cada peso invertido en activos totales, generó ventas por 14,43 pesos en el primer año,</t>
  </si>
  <si>
    <r>
      <rPr>
        <sz val="18"/>
        <rFont val="Arial"/>
        <family val="2"/>
      </rPr>
      <t xml:space="preserve">Rendimiento
</t>
    </r>
    <r>
      <rPr>
        <sz val="14"/>
        <rFont val="Arial"/>
        <family val="2"/>
      </rPr>
      <t>Los indicadores de rendimiento, denominados también de rentabilidad o lucratividad, sirven para medir la efectividad de la administración del proyecto para controlar los costos y gastos y, de esta manera, convertir las ventas en utilidades</t>
    </r>
  </si>
  <si>
    <t>Margen bruto de utilidad</t>
  </si>
  <si>
    <t>Utilidad bruta
= ----------------------------------
Ventas netas</t>
  </si>
  <si>
    <t>El margen bruto de utilidad es de 0.40 para el primer año, lo que significa que las ventas del proyecto generan un 40) de utilidad en el año 1. En otras palabras, cada peso vendido en el año uno genera 40 centavos de utilidad.</t>
  </si>
  <si>
    <t>Margen operacional de utilidad</t>
  </si>
  <si>
    <t xml:space="preserve">  Utilidad operacional
= -------------------------------------------
Ventas netas</t>
  </si>
  <si>
    <t>El margen operacional de utilidad para el primer año es de 0.01, lo que significa que la utilidad operacional corresponde a un 1% de la ventas netas en el año 1, o dicho en otras palabas, por cada peso vendido en el año uno se reportaron 1 centavo de utilidad operacional.</t>
  </si>
  <si>
    <t>Margen neto de utilidad</t>
  </si>
  <si>
    <t xml:space="preserve">  Utilidad neta
= ---------------------------------------------
Ventas netas</t>
  </si>
  <si>
    <t>El margen neto de utilidad para el primer año es de -0.01, el cual se puede interpretar de la siguiente manera: la perdida neta corresponde a un 1% de las ventas netas en el primer año de actividades del proyecto, lo anterior equivale a decir que cada peso vendido genero 1 centavo de pérdida para el año uno.</t>
  </si>
  <si>
    <t>Rendimiento del patrimonio</t>
  </si>
  <si>
    <t xml:space="preserve">  Utilidad neta
= ---------------------------------------------
Patrimonio</t>
  </si>
  <si>
    <t>El rendimiento del patrimonio es de -0.09 para el primer año, lo que significa que la pérdida neta corresponde al 9% sobre el patrimonio , o dicho en otras palabras, los socios o dueños del proyecto obtienen una pérdida sobre la inversión del 9% en el primer año.
Caso contrario ocurre en el año dos, donde el rendimiento del patrimonio es de 18% , lo que significa que las utilidades netas correspondieron al 18% sobre el patrimonio, o dicho en otras palabras, los socios o inversionistas obtienen un rendimiento sobre la inversión del 18% en el segundo año.</t>
  </si>
  <si>
    <t>Rendimiento de activo total</t>
  </si>
  <si>
    <t xml:space="preserve"> Utilidad neta
= ---------------------------------------
Activo total bruto</t>
  </si>
  <si>
    <t xml:space="preserve">Los indicadores calculados significan que la utilidad neta, con respecto al activo total, corresponde a -5% en el primer año y 18% para el segundo año. Es decir, que cada peso invertido en activo total genera una pérdida neta de 5 centavos en el primer año y 18 centavos de utilidad neta para el segundo año. </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</si>
</sst>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 #,##0.00_);_(&quot;$&quot;\ * \(#,##0.00\);_(&quot;$&quot;\ * &quot;-&quot;??_);_(@_)"/>
    <numFmt numFmtId="43" formatCode="_(* #,##0.00_);_(* \(#,##0.00\);_(* &quot;-&quot;??_);_(@_)"/>
    <numFmt numFmtId="164" formatCode="#,##0.0"/>
    <numFmt numFmtId="165" formatCode="_ * #,##0.00_ ;_ * \-#,##0.00_ ;_ * &quot;-&quot;??_ ;_ @_ "/>
    <numFmt numFmtId="166" formatCode="#,##0.000"/>
    <numFmt numFmtId="167" formatCode="_ * #,##0_ ;_ * \-#,##0_ ;_ * &quot;-&quot;??_ ;_ @_ "/>
  </numFmts>
  <fonts count="46" x14ac:knownFonts="1">
    <font>
      <sz val="11"/>
      <color theme="1"/>
      <name val="Calibri"/>
      <family val="2"/>
      <scheme val="minor"/>
    </font>
    <font>
      <sz val="12"/>
      <color theme="1"/>
      <name val="Arial"/>
      <family val="2"/>
    </font>
    <font>
      <sz val="11"/>
      <color rgb="FFFF0000"/>
      <name val="Calibri"/>
      <family val="2"/>
      <scheme val="minor"/>
    </font>
    <font>
      <b/>
      <sz val="11"/>
      <color theme="1"/>
      <name val="Calibri"/>
      <family val="2"/>
      <scheme val="minor"/>
    </font>
    <font>
      <sz val="8"/>
      <color indexed="81"/>
      <name val="Tahoma"/>
      <family val="2"/>
    </font>
    <font>
      <b/>
      <sz val="8"/>
      <color indexed="81"/>
      <name val="Tahoma"/>
      <family val="2"/>
    </font>
    <font>
      <sz val="10"/>
      <color indexed="81"/>
      <name val="Tahoma"/>
      <family val="2"/>
    </font>
    <font>
      <sz val="11"/>
      <color indexed="81"/>
      <name val="Tahoma"/>
      <family val="2"/>
    </font>
    <font>
      <sz val="9"/>
      <color theme="1"/>
      <name val="Times New Roman"/>
      <family val="1"/>
    </font>
    <font>
      <sz val="11"/>
      <color theme="1"/>
      <name val="Calibri"/>
      <family val="2"/>
      <scheme val="minor"/>
    </font>
    <font>
      <sz val="12"/>
      <color theme="1"/>
      <name val="Times New Roman"/>
      <family val="1"/>
    </font>
    <font>
      <sz val="10"/>
      <name val="Arial"/>
      <family val="2"/>
    </font>
    <font>
      <b/>
      <sz val="9"/>
      <color theme="1"/>
      <name val="Times New Roman"/>
      <family val="1"/>
    </font>
    <font>
      <sz val="12"/>
      <color theme="1"/>
      <name val="Arial"/>
      <family val="2"/>
    </font>
    <font>
      <b/>
      <sz val="12"/>
      <color theme="1"/>
      <name val="Arial"/>
      <family val="2"/>
    </font>
    <font>
      <b/>
      <sz val="12"/>
      <color theme="1"/>
      <name val="Times New Roman"/>
      <family val="1"/>
    </font>
    <font>
      <sz val="16"/>
      <name val="Arial"/>
      <family val="2"/>
    </font>
    <font>
      <sz val="12"/>
      <color indexed="8"/>
      <name val="Arial"/>
      <family val="2"/>
    </font>
    <font>
      <sz val="12"/>
      <name val="Arial"/>
      <family val="2"/>
    </font>
    <font>
      <b/>
      <sz val="10"/>
      <name val="Arial"/>
      <family val="2"/>
    </font>
    <font>
      <sz val="11"/>
      <color theme="3" tint="0.59999389629810485"/>
      <name val="Calibri"/>
      <family val="2"/>
      <scheme val="minor"/>
    </font>
    <font>
      <sz val="12"/>
      <color theme="3" tint="0.59999389629810485"/>
      <name val="Times New Roman"/>
      <family val="1"/>
    </font>
    <font>
      <sz val="11"/>
      <color theme="0"/>
      <name val="Calibri"/>
      <family val="2"/>
      <scheme val="minor"/>
    </font>
    <font>
      <b/>
      <sz val="14"/>
      <color theme="1"/>
      <name val="Calibri"/>
      <family val="2"/>
      <scheme val="minor"/>
    </font>
    <font>
      <sz val="14"/>
      <name val="Arial"/>
      <family val="2"/>
    </font>
    <font>
      <sz val="12"/>
      <color rgb="FFFF0000"/>
      <name val="Arial"/>
      <family val="2"/>
    </font>
    <font>
      <sz val="10"/>
      <color theme="1"/>
      <name val="Arial"/>
      <family val="2"/>
    </font>
    <font>
      <sz val="16"/>
      <color theme="1"/>
      <name val="Arial"/>
      <family val="2"/>
    </font>
    <font>
      <sz val="16"/>
      <color rgb="FFFF0000"/>
      <name val="Arial"/>
      <family val="2"/>
    </font>
    <font>
      <b/>
      <sz val="9"/>
      <color indexed="81"/>
      <name val="Tahoma"/>
      <family val="2"/>
    </font>
    <font>
      <b/>
      <sz val="14"/>
      <color indexed="81"/>
      <name val="Tahoma"/>
      <family val="2"/>
    </font>
    <font>
      <b/>
      <sz val="16"/>
      <color theme="1"/>
      <name val="Calibri"/>
      <family val="2"/>
      <scheme val="minor"/>
    </font>
    <font>
      <b/>
      <sz val="12"/>
      <color rgb="FFFF0000"/>
      <name val="Arial"/>
      <family val="2"/>
    </font>
    <font>
      <b/>
      <sz val="12"/>
      <color indexed="81"/>
      <name val="Tahoma"/>
      <family val="2"/>
    </font>
    <font>
      <sz val="10"/>
      <color theme="1"/>
      <name val="Times New Roman"/>
      <family val="1"/>
    </font>
    <font>
      <sz val="18"/>
      <color indexed="8"/>
      <name val="Arial"/>
      <family val="2"/>
    </font>
    <font>
      <sz val="10"/>
      <color indexed="8"/>
      <name val="Arial"/>
      <family val="2"/>
    </font>
    <font>
      <sz val="12"/>
      <color indexed="12"/>
      <name val="Arial"/>
      <family val="2"/>
    </font>
    <font>
      <sz val="16"/>
      <color indexed="8"/>
      <name val="Arial"/>
      <family val="2"/>
    </font>
    <font>
      <b/>
      <sz val="10"/>
      <color indexed="8"/>
      <name val="Arial"/>
      <family val="2"/>
    </font>
    <font>
      <b/>
      <sz val="12"/>
      <color indexed="8"/>
      <name val="Arial"/>
      <family val="2"/>
    </font>
    <font>
      <b/>
      <sz val="12"/>
      <name val="Arial"/>
      <family val="2"/>
    </font>
    <font>
      <sz val="20"/>
      <name val="Arial"/>
      <family val="2"/>
    </font>
    <font>
      <sz val="18"/>
      <name val="Arial"/>
      <family val="2"/>
    </font>
    <font>
      <sz val="11"/>
      <name val="Arial"/>
      <family val="2"/>
    </font>
    <font>
      <b/>
      <sz val="14"/>
      <name val="Arial"/>
      <family val="2"/>
    </font>
  </fonts>
  <fills count="22">
    <fill>
      <patternFill patternType="none"/>
    </fill>
    <fill>
      <patternFill patternType="gray125"/>
    </fill>
    <fill>
      <patternFill patternType="solid">
        <fgColor theme="7" tint="-0.249977111117893"/>
        <bgColor indexed="64"/>
      </patternFill>
    </fill>
    <fill>
      <patternFill patternType="solid">
        <fgColor theme="7" tint="0.39997558519241921"/>
        <bgColor indexed="64"/>
      </patternFill>
    </fill>
    <fill>
      <patternFill patternType="solid">
        <fgColor theme="7" tint="0.79998168889431442"/>
        <bgColor indexed="64"/>
      </patternFill>
    </fill>
    <fill>
      <patternFill patternType="solid">
        <fgColor theme="7" tint="0.59999389629810485"/>
        <bgColor indexed="64"/>
      </patternFill>
    </fill>
    <fill>
      <patternFill patternType="solid">
        <fgColor rgb="FFFFFF00"/>
        <bgColor indexed="64"/>
      </patternFill>
    </fill>
    <fill>
      <patternFill patternType="solid">
        <fgColor rgb="FFFFC000"/>
        <bgColor indexed="64"/>
      </patternFill>
    </fill>
    <fill>
      <patternFill patternType="solid">
        <fgColor theme="2" tint="-0.249977111117893"/>
        <bgColor indexed="64"/>
      </patternFill>
    </fill>
    <fill>
      <patternFill patternType="solid">
        <fgColor theme="2" tint="-9.9978637043366805E-2"/>
        <bgColor indexed="64"/>
      </patternFill>
    </fill>
    <fill>
      <patternFill patternType="solid">
        <fgColor theme="3" tint="0.79998168889431442"/>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5" tint="0.39997558519241921"/>
        <bgColor indexed="64"/>
      </patternFill>
    </fill>
    <fill>
      <patternFill patternType="solid">
        <fgColor theme="8" tint="0.79998168889431442"/>
        <bgColor indexed="64"/>
      </patternFill>
    </fill>
    <fill>
      <patternFill patternType="solid">
        <fgColor theme="4" tint="0.59999389629810485"/>
        <bgColor indexed="64"/>
      </patternFill>
    </fill>
    <fill>
      <patternFill patternType="solid">
        <fgColor theme="0" tint="-0.14999847407452621"/>
        <bgColor indexed="64"/>
      </patternFill>
    </fill>
    <fill>
      <patternFill patternType="solid">
        <fgColor rgb="FF92D050"/>
        <bgColor indexed="64"/>
      </patternFill>
    </fill>
    <fill>
      <patternFill patternType="solid">
        <fgColor theme="8" tint="0.59999389629810485"/>
        <bgColor indexed="64"/>
      </patternFill>
    </fill>
    <fill>
      <patternFill patternType="solid">
        <fgColor theme="9" tint="0.39997558519241921"/>
        <bgColor indexed="64"/>
      </patternFill>
    </fill>
    <fill>
      <patternFill patternType="solid">
        <fgColor theme="5" tint="-0.249977111117893"/>
        <bgColor indexed="64"/>
      </patternFill>
    </fill>
  </fills>
  <borders count="49">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top/>
      <bottom style="thin">
        <color indexed="64"/>
      </bottom>
      <diagonal/>
    </border>
    <border>
      <left/>
      <right/>
      <top style="thin">
        <color indexed="64"/>
      </top>
      <bottom style="double">
        <color indexed="64"/>
      </bottom>
      <diagonal/>
    </border>
    <border>
      <left/>
      <right/>
      <top/>
      <bottom style="thin">
        <color indexed="8"/>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9">
    <xf numFmtId="0" fontId="0" fillId="0" borderId="0"/>
    <xf numFmtId="44" fontId="9" fillId="0" borderId="0" applyFont="0" applyFill="0" applyBorder="0" applyAlignment="0" applyProtection="0"/>
    <xf numFmtId="0" fontId="11" fillId="0" borderId="0"/>
    <xf numFmtId="9" fontId="11" fillId="0" borderId="0" applyFont="0" applyFill="0" applyBorder="0" applyAlignment="0" applyProtection="0"/>
    <xf numFmtId="165" fontId="11" fillId="0" borderId="0" applyFont="0" applyFill="0" applyBorder="0" applyAlignment="0" applyProtection="0"/>
    <xf numFmtId="0" fontId="11" fillId="0" borderId="0"/>
    <xf numFmtId="9" fontId="11" fillId="0" borderId="0" applyFont="0" applyFill="0" applyBorder="0" applyAlignment="0" applyProtection="0"/>
    <xf numFmtId="9" fontId="9" fillId="0" borderId="0" applyFont="0" applyFill="0" applyBorder="0" applyAlignment="0" applyProtection="0"/>
    <xf numFmtId="43" fontId="9" fillId="0" borderId="0" applyFont="0" applyFill="0" applyBorder="0" applyAlignment="0" applyProtection="0"/>
  </cellStyleXfs>
  <cellXfs count="395">
    <xf numFmtId="0" fontId="0" fillId="0" borderId="0" xfId="0"/>
    <xf numFmtId="0" fontId="0" fillId="0" borderId="0" xfId="0" applyAlignment="1">
      <alignment horizontal="center"/>
    </xf>
    <xf numFmtId="0" fontId="0" fillId="0" borderId="1" xfId="0" applyBorder="1"/>
    <xf numFmtId="9" fontId="0" fillId="0" borderId="1" xfId="0" applyNumberFormat="1" applyBorder="1"/>
    <xf numFmtId="0" fontId="3" fillId="0" borderId="0" xfId="0" applyFont="1"/>
    <xf numFmtId="10" fontId="0" fillId="0" borderId="1" xfId="0" applyNumberFormat="1" applyBorder="1"/>
    <xf numFmtId="0" fontId="0" fillId="0" borderId="8" xfId="0" applyBorder="1"/>
    <xf numFmtId="0" fontId="0" fillId="0" borderId="9" xfId="0" applyBorder="1"/>
    <xf numFmtId="0" fontId="2" fillId="0" borderId="8" xfId="0" applyFont="1" applyBorder="1"/>
    <xf numFmtId="0" fontId="2" fillId="0" borderId="12" xfId="0" applyFont="1" applyBorder="1"/>
    <xf numFmtId="10" fontId="3" fillId="0" borderId="13" xfId="0" applyNumberFormat="1" applyFont="1" applyBorder="1"/>
    <xf numFmtId="10" fontId="3" fillId="0" borderId="2" xfId="0" applyNumberFormat="1" applyFont="1" applyBorder="1"/>
    <xf numFmtId="0" fontId="2" fillId="0" borderId="14" xfId="0" applyFont="1" applyBorder="1"/>
    <xf numFmtId="0" fontId="0" fillId="0" borderId="15" xfId="0" applyBorder="1"/>
    <xf numFmtId="9" fontId="3" fillId="0" borderId="2" xfId="0" applyNumberFormat="1" applyFont="1" applyBorder="1"/>
    <xf numFmtId="0" fontId="0" fillId="0" borderId="1" xfId="0" applyBorder="1" applyAlignment="1">
      <alignment horizontal="right"/>
    </xf>
    <xf numFmtId="0" fontId="0" fillId="0" borderId="10" xfId="0" applyBorder="1"/>
    <xf numFmtId="0" fontId="0" fillId="0" borderId="11" xfId="0" applyBorder="1"/>
    <xf numFmtId="0" fontId="0" fillId="0" borderId="18" xfId="0" applyBorder="1"/>
    <xf numFmtId="0" fontId="0" fillId="0" borderId="1" xfId="0" applyBorder="1" applyAlignment="1">
      <alignment horizontal="center"/>
    </xf>
    <xf numFmtId="0" fontId="0" fillId="0" borderId="17" xfId="0" applyBorder="1" applyAlignment="1">
      <alignment horizontal="center"/>
    </xf>
    <xf numFmtId="10" fontId="0" fillId="0" borderId="1" xfId="0" applyNumberFormat="1" applyBorder="1" applyProtection="1">
      <protection locked="0"/>
    </xf>
    <xf numFmtId="9" fontId="0" fillId="0" borderId="1" xfId="0" applyNumberFormat="1" applyBorder="1" applyProtection="1">
      <protection locked="0"/>
    </xf>
    <xf numFmtId="10" fontId="0" fillId="0" borderId="9" xfId="0" applyNumberFormat="1" applyBorder="1" applyProtection="1">
      <protection locked="0"/>
    </xf>
    <xf numFmtId="9" fontId="0" fillId="0" borderId="13" xfId="0" applyNumberFormat="1" applyBorder="1" applyProtection="1">
      <protection locked="0"/>
    </xf>
    <xf numFmtId="9" fontId="0" fillId="0" borderId="9" xfId="0" applyNumberFormat="1" applyBorder="1" applyProtection="1">
      <protection locked="0"/>
    </xf>
    <xf numFmtId="0" fontId="0" fillId="0" borderId="0" xfId="0" applyProtection="1">
      <protection locked="0"/>
    </xf>
    <xf numFmtId="0" fontId="0" fillId="0" borderId="1" xfId="0" applyBorder="1" applyProtection="1">
      <protection locked="0"/>
    </xf>
    <xf numFmtId="0" fontId="0" fillId="0" borderId="16" xfId="0" applyBorder="1" applyProtection="1">
      <protection locked="0"/>
    </xf>
    <xf numFmtId="9" fontId="0" fillId="0" borderId="17" xfId="0" applyNumberFormat="1" applyBorder="1" applyProtection="1">
      <protection locked="0"/>
    </xf>
    <xf numFmtId="0" fontId="0" fillId="0" borderId="16" xfId="0" applyBorder="1" applyAlignment="1">
      <alignment horizontal="center"/>
    </xf>
    <xf numFmtId="164" fontId="0" fillId="0" borderId="1" xfId="0" applyNumberFormat="1" applyBorder="1"/>
    <xf numFmtId="164" fontId="0" fillId="0" borderId="16" xfId="0" applyNumberFormat="1" applyBorder="1"/>
    <xf numFmtId="0" fontId="8" fillId="0" borderId="17" xfId="0" applyFont="1" applyFill="1" applyBorder="1" applyAlignment="1">
      <alignment wrapText="1"/>
    </xf>
    <xf numFmtId="0" fontId="0" fillId="0" borderId="17" xfId="0" applyBorder="1"/>
    <xf numFmtId="0" fontId="3" fillId="0" borderId="4" xfId="0" applyFont="1" applyBorder="1"/>
    <xf numFmtId="164" fontId="3" fillId="0" borderId="4" xfId="0" applyNumberFormat="1" applyFont="1" applyBorder="1"/>
    <xf numFmtId="3" fontId="3" fillId="0" borderId="5" xfId="0" applyNumberFormat="1" applyFont="1" applyBorder="1"/>
    <xf numFmtId="3" fontId="3" fillId="0" borderId="4" xfId="0" applyNumberFormat="1" applyFont="1" applyBorder="1"/>
    <xf numFmtId="3" fontId="0" fillId="0" borderId="1" xfId="0" applyNumberFormat="1" applyBorder="1"/>
    <xf numFmtId="166" fontId="0" fillId="0" borderId="1" xfId="0" applyNumberFormat="1" applyBorder="1"/>
    <xf numFmtId="0" fontId="12" fillId="0" borderId="4" xfId="0" applyFont="1" applyFill="1" applyBorder="1" applyAlignment="1">
      <alignment wrapText="1"/>
    </xf>
    <xf numFmtId="0" fontId="0" fillId="0" borderId="17" xfId="0" applyFill="1" applyBorder="1"/>
    <xf numFmtId="0" fontId="0" fillId="0" borderId="4" xfId="0" applyFill="1" applyBorder="1"/>
    <xf numFmtId="3" fontId="3" fillId="0" borderId="4" xfId="0" applyNumberFormat="1" applyFont="1" applyFill="1" applyBorder="1"/>
    <xf numFmtId="3" fontId="3" fillId="0" borderId="5" xfId="0" applyNumberFormat="1" applyFont="1" applyFill="1" applyBorder="1"/>
    <xf numFmtId="0" fontId="3" fillId="0" borderId="4" xfId="0" applyFont="1" applyFill="1" applyBorder="1"/>
    <xf numFmtId="0" fontId="13" fillId="0" borderId="0" xfId="0" applyFont="1"/>
    <xf numFmtId="0" fontId="13" fillId="0" borderId="1" xfId="0" applyFont="1" applyBorder="1" applyAlignment="1">
      <alignment horizontal="center"/>
    </xf>
    <xf numFmtId="0" fontId="13" fillId="0" borderId="1" xfId="0" applyFont="1" applyBorder="1"/>
    <xf numFmtId="0" fontId="0" fillId="0" borderId="0" xfId="0" applyBorder="1"/>
    <xf numFmtId="0" fontId="14" fillId="3" borderId="1" xfId="0" applyFont="1" applyFill="1" applyBorder="1"/>
    <xf numFmtId="0" fontId="13" fillId="0" borderId="1" xfId="0" applyFont="1" applyFill="1" applyBorder="1"/>
    <xf numFmtId="0" fontId="0" fillId="0" borderId="0" xfId="0" applyBorder="1" applyAlignment="1">
      <alignment horizontal="center"/>
    </xf>
    <xf numFmtId="0" fontId="14" fillId="4" borderId="1" xfId="0" applyFont="1" applyFill="1" applyBorder="1" applyAlignment="1">
      <alignment horizontal="center"/>
    </xf>
    <xf numFmtId="10" fontId="14" fillId="0" borderId="1" xfId="0" applyNumberFormat="1" applyFont="1" applyBorder="1" applyAlignment="1">
      <alignment horizontal="center"/>
    </xf>
    <xf numFmtId="9" fontId="14" fillId="0" borderId="1" xfId="0" applyNumberFormat="1" applyFont="1" applyBorder="1" applyAlignment="1">
      <alignment horizontal="center"/>
    </xf>
    <xf numFmtId="37" fontId="13" fillId="0" borderId="1" xfId="1" applyNumberFormat="1" applyFont="1" applyBorder="1" applyAlignment="1">
      <alignment horizontal="center"/>
    </xf>
    <xf numFmtId="37" fontId="14" fillId="0" borderId="1" xfId="1" applyNumberFormat="1" applyFont="1" applyBorder="1" applyAlignment="1">
      <alignment horizontal="center"/>
    </xf>
    <xf numFmtId="0" fontId="14" fillId="3" borderId="1" xfId="0" applyFont="1" applyFill="1" applyBorder="1" applyAlignment="1">
      <alignment horizontal="center"/>
    </xf>
    <xf numFmtId="0" fontId="14" fillId="5" borderId="1" xfId="0" applyFont="1" applyFill="1" applyBorder="1" applyAlignment="1">
      <alignment horizontal="center"/>
    </xf>
    <xf numFmtId="3" fontId="13" fillId="0" borderId="1" xfId="0" applyNumberFormat="1" applyFont="1" applyBorder="1"/>
    <xf numFmtId="0" fontId="14" fillId="0" borderId="1" xfId="0" applyFont="1" applyBorder="1"/>
    <xf numFmtId="3" fontId="14" fillId="0" borderId="1" xfId="0" applyNumberFormat="1" applyFont="1" applyBorder="1"/>
    <xf numFmtId="0" fontId="14" fillId="3" borderId="21" xfId="0" applyFont="1" applyFill="1" applyBorder="1" applyAlignment="1">
      <alignment horizontal="center"/>
    </xf>
    <xf numFmtId="0" fontId="14" fillId="0" borderId="0" xfId="0" applyFont="1" applyFill="1" applyBorder="1" applyAlignment="1">
      <alignment horizontal="center"/>
    </xf>
    <xf numFmtId="0" fontId="13" fillId="0" borderId="0" xfId="0" applyFont="1" applyBorder="1"/>
    <xf numFmtId="3" fontId="13" fillId="0" borderId="1" xfId="0" applyNumberFormat="1" applyFont="1" applyFill="1" applyBorder="1"/>
    <xf numFmtId="0" fontId="14" fillId="5" borderId="16" xfId="0" applyFont="1" applyFill="1" applyBorder="1" applyAlignment="1">
      <alignment horizontal="center"/>
    </xf>
    <xf numFmtId="0" fontId="13" fillId="0" borderId="0" xfId="0" applyFont="1" applyBorder="1" applyAlignment="1">
      <alignment horizontal="center"/>
    </xf>
    <xf numFmtId="0" fontId="13" fillId="0" borderId="0" xfId="0" applyFont="1" applyBorder="1" applyAlignment="1">
      <alignment horizontal="left" indent="7"/>
    </xf>
    <xf numFmtId="0" fontId="14" fillId="2" borderId="1" xfId="0" applyFont="1" applyFill="1" applyBorder="1" applyAlignment="1">
      <alignment horizontal="center"/>
    </xf>
    <xf numFmtId="0" fontId="15" fillId="0" borderId="0" xfId="0" applyFont="1" applyBorder="1"/>
    <xf numFmtId="0" fontId="15" fillId="0" borderId="0" xfId="0" applyFont="1" applyBorder="1" applyAlignment="1">
      <alignment horizontal="center" wrapText="1"/>
    </xf>
    <xf numFmtId="0" fontId="10" fillId="0" borderId="0" xfId="0" applyFont="1" applyBorder="1" applyAlignment="1">
      <alignment horizontal="center"/>
    </xf>
    <xf numFmtId="0" fontId="10" fillId="0" borderId="0" xfId="0" applyFont="1" applyBorder="1"/>
    <xf numFmtId="0" fontId="0" fillId="0" borderId="16" xfId="0" applyBorder="1"/>
    <xf numFmtId="0" fontId="10" fillId="0" borderId="1" xfId="0" applyFont="1" applyBorder="1"/>
    <xf numFmtId="0" fontId="10" fillId="0" borderId="1" xfId="0" applyFont="1" applyBorder="1" applyAlignment="1">
      <alignment horizontal="center"/>
    </xf>
    <xf numFmtId="3" fontId="10" fillId="0" borderId="1" xfId="0" applyNumberFormat="1" applyFont="1" applyBorder="1" applyAlignment="1">
      <alignment horizontal="right"/>
    </xf>
    <xf numFmtId="0" fontId="15" fillId="0" borderId="1" xfId="0" applyFont="1" applyBorder="1"/>
    <xf numFmtId="3" fontId="15" fillId="0" borderId="1" xfId="0" applyNumberFormat="1" applyFont="1" applyBorder="1" applyAlignment="1">
      <alignment horizontal="center"/>
    </xf>
    <xf numFmtId="0" fontId="15" fillId="0" borderId="16" xfId="0" applyFont="1" applyFill="1" applyBorder="1"/>
    <xf numFmtId="3" fontId="3" fillId="0" borderId="16" xfId="0" applyNumberFormat="1" applyFont="1" applyBorder="1"/>
    <xf numFmtId="3" fontId="3" fillId="0" borderId="24" xfId="0" applyNumberFormat="1" applyFont="1" applyBorder="1"/>
    <xf numFmtId="3" fontId="10" fillId="0" borderId="1" xfId="0" applyNumberFormat="1" applyFont="1" applyBorder="1" applyAlignment="1">
      <alignment horizontal="center"/>
    </xf>
    <xf numFmtId="3" fontId="10" fillId="0" borderId="21" xfId="0" applyNumberFormat="1" applyFont="1" applyBorder="1" applyAlignment="1">
      <alignment horizontal="right"/>
    </xf>
    <xf numFmtId="10" fontId="17" fillId="0" borderId="1" xfId="0" quotePrefix="1" applyNumberFormat="1" applyFont="1" applyFill="1" applyBorder="1" applyAlignment="1">
      <alignment horizontal="center" vertical="center" wrapText="1"/>
    </xf>
    <xf numFmtId="9" fontId="17" fillId="0" borderId="1" xfId="0" applyNumberFormat="1" applyFont="1" applyBorder="1" applyAlignment="1">
      <alignment horizontal="center" vertical="center" wrapText="1"/>
    </xf>
    <xf numFmtId="10" fontId="17" fillId="0" borderId="1" xfId="0" applyNumberFormat="1" applyFont="1" applyBorder="1" applyAlignment="1">
      <alignment horizontal="center" vertical="center" wrapText="1"/>
    </xf>
    <xf numFmtId="10" fontId="17" fillId="0" borderId="1" xfId="0" quotePrefix="1" applyNumberFormat="1" applyFont="1" applyBorder="1" applyAlignment="1">
      <alignment horizontal="center" vertical="center" wrapText="1"/>
    </xf>
    <xf numFmtId="0" fontId="17" fillId="0" borderId="1" xfId="0" applyFont="1" applyBorder="1" applyAlignment="1">
      <alignment horizontal="center" vertical="center" wrapText="1"/>
    </xf>
    <xf numFmtId="0" fontId="0" fillId="0" borderId="1" xfId="0" applyBorder="1" applyAlignment="1">
      <alignment horizontal="left"/>
    </xf>
    <xf numFmtId="0" fontId="0" fillId="0" borderId="1" xfId="0" applyBorder="1" applyAlignment="1">
      <alignment horizontal="center" vertical="center" wrapText="1"/>
    </xf>
    <xf numFmtId="0" fontId="19" fillId="0" borderId="1" xfId="0" applyFont="1" applyBorder="1"/>
    <xf numFmtId="3" fontId="0" fillId="0" borderId="0" xfId="0" applyNumberFormat="1" applyBorder="1"/>
    <xf numFmtId="3" fontId="13" fillId="6" borderId="1" xfId="0" applyNumberFormat="1" applyFont="1" applyFill="1" applyBorder="1"/>
    <xf numFmtId="3" fontId="13" fillId="7" borderId="1" xfId="0" applyNumberFormat="1" applyFont="1" applyFill="1" applyBorder="1"/>
    <xf numFmtId="3" fontId="13" fillId="8" borderId="1" xfId="0" applyNumberFormat="1" applyFont="1" applyFill="1" applyBorder="1"/>
    <xf numFmtId="3" fontId="13" fillId="3" borderId="1" xfId="0" applyNumberFormat="1" applyFont="1" applyFill="1" applyBorder="1"/>
    <xf numFmtId="3" fontId="13" fillId="9" borderId="1" xfId="0" applyNumberFormat="1" applyFont="1" applyFill="1" applyBorder="1"/>
    <xf numFmtId="3" fontId="13" fillId="10" borderId="1" xfId="0" applyNumberFormat="1" applyFont="1" applyFill="1" applyBorder="1"/>
    <xf numFmtId="3" fontId="13" fillId="11" borderId="1" xfId="0" applyNumberFormat="1" applyFont="1" applyFill="1" applyBorder="1"/>
    <xf numFmtId="3" fontId="13" fillId="12" borderId="1" xfId="0" applyNumberFormat="1" applyFont="1" applyFill="1" applyBorder="1"/>
    <xf numFmtId="3" fontId="13" fillId="13" borderId="1" xfId="0" applyNumberFormat="1" applyFont="1" applyFill="1" applyBorder="1"/>
    <xf numFmtId="0" fontId="14" fillId="13" borderId="1" xfId="0" applyFont="1" applyFill="1" applyBorder="1"/>
    <xf numFmtId="0" fontId="14" fillId="14" borderId="1" xfId="0" applyFont="1" applyFill="1" applyBorder="1"/>
    <xf numFmtId="0" fontId="14" fillId="11" borderId="1" xfId="0" applyFont="1" applyFill="1" applyBorder="1"/>
    <xf numFmtId="0" fontId="14" fillId="8" borderId="1" xfId="0" applyFont="1" applyFill="1" applyBorder="1"/>
    <xf numFmtId="0" fontId="13" fillId="11" borderId="1" xfId="0" applyFont="1" applyFill="1" applyBorder="1"/>
    <xf numFmtId="44" fontId="13" fillId="11" borderId="1" xfId="1" applyFont="1" applyFill="1" applyBorder="1"/>
    <xf numFmtId="0" fontId="14" fillId="15" borderId="1" xfId="0" applyFont="1" applyFill="1" applyBorder="1"/>
    <xf numFmtId="10" fontId="14" fillId="15" borderId="1" xfId="1" applyNumberFormat="1" applyFont="1" applyFill="1" applyBorder="1"/>
    <xf numFmtId="3" fontId="13" fillId="15" borderId="1" xfId="0" applyNumberFormat="1" applyFont="1" applyFill="1" applyBorder="1"/>
    <xf numFmtId="0" fontId="15" fillId="0" borderId="6" xfId="0" applyFont="1" applyBorder="1"/>
    <xf numFmtId="0" fontId="10" fillId="0" borderId="8" xfId="0" applyFont="1" applyBorder="1"/>
    <xf numFmtId="0" fontId="10" fillId="0" borderId="10" xfId="0" applyFont="1" applyBorder="1"/>
    <xf numFmtId="0" fontId="15" fillId="0" borderId="6" xfId="0" applyFont="1" applyBorder="1" applyAlignment="1">
      <alignment wrapText="1"/>
    </xf>
    <xf numFmtId="0" fontId="10" fillId="0" borderId="10" xfId="0" applyFont="1" applyBorder="1" applyAlignment="1">
      <alignment wrapText="1"/>
    </xf>
    <xf numFmtId="0" fontId="10" fillId="0" borderId="6" xfId="0" applyFont="1" applyBorder="1"/>
    <xf numFmtId="0" fontId="10" fillId="0" borderId="30" xfId="0" applyFont="1" applyBorder="1"/>
    <xf numFmtId="0" fontId="15" fillId="0" borderId="18" xfId="0" applyFont="1" applyBorder="1"/>
    <xf numFmtId="0" fontId="10" fillId="0" borderId="31" xfId="0" applyFont="1" applyBorder="1"/>
    <xf numFmtId="0" fontId="10" fillId="0" borderId="32" xfId="0" applyFont="1" applyBorder="1"/>
    <xf numFmtId="10" fontId="10" fillId="0" borderId="31" xfId="0" applyNumberFormat="1" applyFont="1" applyBorder="1"/>
    <xf numFmtId="9" fontId="10" fillId="0" borderId="31" xfId="0" applyNumberFormat="1" applyFont="1" applyBorder="1"/>
    <xf numFmtId="0" fontId="10" fillId="0" borderId="33" xfId="0" applyFont="1" applyBorder="1"/>
    <xf numFmtId="0" fontId="15" fillId="0" borderId="3" xfId="0" applyFont="1" applyFill="1" applyBorder="1"/>
    <xf numFmtId="3" fontId="0" fillId="0" borderId="1" xfId="0" applyNumberFormat="1" applyBorder="1" applyAlignment="1">
      <alignment horizontal="right"/>
    </xf>
    <xf numFmtId="3" fontId="21" fillId="0" borderId="1" xfId="0" applyNumberFormat="1" applyFont="1" applyBorder="1" applyAlignment="1">
      <alignment horizontal="right"/>
    </xf>
    <xf numFmtId="3" fontId="20" fillId="0" borderId="1" xfId="0" applyNumberFormat="1" applyFont="1" applyBorder="1" applyAlignment="1">
      <alignment horizontal="right"/>
    </xf>
    <xf numFmtId="3" fontId="20" fillId="0" borderId="23" xfId="0" applyNumberFormat="1" applyFont="1" applyBorder="1" applyAlignment="1">
      <alignment horizontal="right"/>
    </xf>
    <xf numFmtId="3" fontId="20" fillId="0" borderId="9" xfId="0" applyNumberFormat="1" applyFont="1" applyBorder="1" applyAlignment="1">
      <alignment horizontal="right"/>
    </xf>
    <xf numFmtId="3" fontId="0" fillId="0" borderId="23" xfId="0" applyNumberFormat="1" applyBorder="1" applyAlignment="1">
      <alignment horizontal="right"/>
    </xf>
    <xf numFmtId="3" fontId="0" fillId="0" borderId="9" xfId="0" applyNumberFormat="1" applyBorder="1" applyAlignment="1">
      <alignment horizontal="right"/>
    </xf>
    <xf numFmtId="3" fontId="21" fillId="0" borderId="29" xfId="0" applyNumberFormat="1" applyFont="1" applyBorder="1" applyAlignment="1">
      <alignment horizontal="right"/>
    </xf>
    <xf numFmtId="3" fontId="20" fillId="0" borderId="29" xfId="0" applyNumberFormat="1" applyFont="1" applyBorder="1" applyAlignment="1">
      <alignment horizontal="right"/>
    </xf>
    <xf numFmtId="3" fontId="10" fillId="0" borderId="29" xfId="0" applyNumberFormat="1" applyFont="1" applyBorder="1" applyAlignment="1">
      <alignment horizontal="right"/>
    </xf>
    <xf numFmtId="3" fontId="10" fillId="0" borderId="28" xfId="0" applyNumberFormat="1" applyFont="1" applyBorder="1" applyAlignment="1">
      <alignment horizontal="right"/>
    </xf>
    <xf numFmtId="3" fontId="0" fillId="0" borderId="28" xfId="0" applyNumberFormat="1" applyBorder="1" applyAlignment="1">
      <alignment horizontal="right"/>
    </xf>
    <xf numFmtId="3" fontId="10" fillId="0" borderId="17" xfId="0" applyNumberFormat="1" applyFont="1" applyBorder="1" applyAlignment="1">
      <alignment horizontal="right"/>
    </xf>
    <xf numFmtId="3" fontId="0" fillId="0" borderId="7" xfId="0" applyNumberFormat="1" applyBorder="1" applyAlignment="1">
      <alignment horizontal="right"/>
    </xf>
    <xf numFmtId="3" fontId="0" fillId="0" borderId="29" xfId="0" applyNumberFormat="1" applyBorder="1" applyAlignment="1">
      <alignment horizontal="right"/>
    </xf>
    <xf numFmtId="3" fontId="0" fillId="0" borderId="11" xfId="0" applyNumberFormat="1" applyBorder="1" applyAlignment="1">
      <alignment horizontal="right"/>
    </xf>
    <xf numFmtId="3" fontId="10" fillId="0" borderId="16" xfId="0" applyNumberFormat="1" applyFont="1" applyBorder="1" applyAlignment="1">
      <alignment horizontal="right"/>
    </xf>
    <xf numFmtId="3" fontId="0" fillId="0" borderId="16" xfId="0" applyNumberFormat="1" applyBorder="1" applyAlignment="1">
      <alignment horizontal="right"/>
    </xf>
    <xf numFmtId="3" fontId="0" fillId="0" borderId="13" xfId="0" applyNumberFormat="1" applyBorder="1" applyAlignment="1">
      <alignment horizontal="right"/>
    </xf>
    <xf numFmtId="0" fontId="0" fillId="0" borderId="4" xfId="0" applyBorder="1" applyAlignment="1">
      <alignment horizontal="right"/>
    </xf>
    <xf numFmtId="3" fontId="3" fillId="0" borderId="4" xfId="0" applyNumberFormat="1" applyFont="1" applyBorder="1" applyAlignment="1">
      <alignment horizontal="right"/>
    </xf>
    <xf numFmtId="3" fontId="0" fillId="0" borderId="4" xfId="0" applyNumberFormat="1" applyBorder="1" applyAlignment="1">
      <alignment horizontal="right"/>
    </xf>
    <xf numFmtId="3" fontId="3" fillId="0" borderId="5" xfId="0" applyNumberFormat="1" applyFont="1" applyBorder="1" applyAlignment="1">
      <alignment horizontal="right"/>
    </xf>
    <xf numFmtId="0" fontId="10" fillId="0" borderId="0" xfId="0" applyFont="1"/>
    <xf numFmtId="0" fontId="10" fillId="0" borderId="0" xfId="0" applyFont="1" applyAlignment="1">
      <alignment horizontal="center"/>
    </xf>
    <xf numFmtId="0" fontId="10" fillId="0" borderId="36" xfId="0" applyFont="1" applyBorder="1"/>
    <xf numFmtId="0" fontId="10" fillId="0" borderId="36" xfId="0" applyFont="1" applyBorder="1" applyAlignment="1">
      <alignment horizontal="center"/>
    </xf>
    <xf numFmtId="0" fontId="0" fillId="0" borderId="35" xfId="0" applyBorder="1"/>
    <xf numFmtId="0" fontId="0" fillId="0" borderId="38" xfId="0" applyBorder="1"/>
    <xf numFmtId="0" fontId="15" fillId="0" borderId="0" xfId="0" applyFont="1" applyBorder="1" applyAlignment="1">
      <alignment horizontal="center"/>
    </xf>
    <xf numFmtId="0" fontId="15" fillId="0" borderId="35" xfId="0" applyFont="1" applyBorder="1" applyAlignment="1">
      <alignment horizontal="center"/>
    </xf>
    <xf numFmtId="0" fontId="15" fillId="0" borderId="38" xfId="0" applyFont="1" applyBorder="1" applyAlignment="1">
      <alignment horizontal="center"/>
    </xf>
    <xf numFmtId="0" fontId="10" fillId="0" borderId="3" xfId="0" applyFont="1" applyFill="1" applyBorder="1"/>
    <xf numFmtId="3" fontId="10" fillId="0" borderId="28" xfId="0" applyNumberFormat="1" applyFont="1" applyBorder="1"/>
    <xf numFmtId="3" fontId="10" fillId="0" borderId="7" xfId="0" applyNumberFormat="1" applyFont="1" applyBorder="1"/>
    <xf numFmtId="3" fontId="10" fillId="0" borderId="1" xfId="0" applyNumberFormat="1" applyFont="1" applyBorder="1"/>
    <xf numFmtId="3" fontId="10" fillId="0" borderId="9" xfId="0" applyNumberFormat="1" applyFont="1" applyBorder="1"/>
    <xf numFmtId="3" fontId="10" fillId="0" borderId="16" xfId="0" applyNumberFormat="1" applyFont="1" applyBorder="1"/>
    <xf numFmtId="3" fontId="10" fillId="0" borderId="13" xfId="0" applyNumberFormat="1" applyFont="1" applyBorder="1"/>
    <xf numFmtId="3" fontId="0" fillId="0" borderId="4" xfId="0" applyNumberFormat="1" applyBorder="1"/>
    <xf numFmtId="3" fontId="13" fillId="16" borderId="1" xfId="0" applyNumberFormat="1" applyFont="1" applyFill="1" applyBorder="1"/>
    <xf numFmtId="3" fontId="13" fillId="17" borderId="1" xfId="0" applyNumberFormat="1" applyFont="1" applyFill="1" applyBorder="1"/>
    <xf numFmtId="3" fontId="13" fillId="18" borderId="1" xfId="0" applyNumberFormat="1" applyFont="1" applyFill="1" applyBorder="1"/>
    <xf numFmtId="3" fontId="13" fillId="19" borderId="1" xfId="0" applyNumberFormat="1" applyFont="1" applyFill="1" applyBorder="1"/>
    <xf numFmtId="0" fontId="3" fillId="0" borderId="1" xfId="0" applyFont="1" applyBorder="1" applyAlignment="1">
      <alignment horizontal="center" vertical="center"/>
    </xf>
    <xf numFmtId="0" fontId="0" fillId="0" borderId="1" xfId="0" applyBorder="1" applyAlignment="1">
      <alignment horizontal="center" vertical="center" wrapText="1"/>
    </xf>
    <xf numFmtId="3" fontId="0" fillId="19" borderId="1" xfId="0" applyNumberFormat="1" applyFill="1" applyBorder="1"/>
    <xf numFmtId="3" fontId="19" fillId="11" borderId="1" xfId="0" applyNumberFormat="1" applyFont="1" applyFill="1" applyBorder="1"/>
    <xf numFmtId="3" fontId="19" fillId="13" borderId="0" xfId="0" applyNumberFormat="1" applyFont="1" applyFill="1" applyBorder="1"/>
    <xf numFmtId="3" fontId="0" fillId="20" borderId="0" xfId="0" applyNumberFormat="1" applyFill="1" applyBorder="1"/>
    <xf numFmtId="1" fontId="23" fillId="0" borderId="3" xfId="0" applyNumberFormat="1" applyFont="1" applyBorder="1"/>
    <xf numFmtId="1" fontId="23" fillId="0" borderId="4" xfId="0" applyNumberFormat="1" applyFont="1" applyBorder="1"/>
    <xf numFmtId="0" fontId="23" fillId="0" borderId="5" xfId="0" applyFont="1" applyBorder="1"/>
    <xf numFmtId="0" fontId="19" fillId="0" borderId="16" xfId="0" applyFont="1" applyBorder="1"/>
    <xf numFmtId="0" fontId="24" fillId="0" borderId="2" xfId="0" applyFont="1" applyFill="1" applyBorder="1"/>
    <xf numFmtId="9" fontId="0" fillId="0" borderId="16" xfId="7" applyNumberFormat="1" applyFont="1" applyBorder="1"/>
    <xf numFmtId="3" fontId="0" fillId="0" borderId="17" xfId="0" applyNumberFormat="1" applyBorder="1"/>
    <xf numFmtId="0" fontId="11" fillId="0" borderId="16" xfId="0" applyFont="1" applyBorder="1"/>
    <xf numFmtId="0" fontId="19" fillId="0" borderId="17" xfId="0" applyFont="1" applyBorder="1"/>
    <xf numFmtId="0" fontId="24" fillId="0" borderId="0" xfId="0" applyFont="1" applyFill="1" applyBorder="1"/>
    <xf numFmtId="3" fontId="0" fillId="0" borderId="0" xfId="0" applyNumberFormat="1"/>
    <xf numFmtId="0" fontId="0" fillId="0" borderId="0" xfId="0" applyAlignment="1">
      <alignment horizontal="center" vertical="center" wrapText="1"/>
    </xf>
    <xf numFmtId="0" fontId="22" fillId="21" borderId="0" xfId="0" applyFont="1" applyFill="1" applyAlignment="1"/>
    <xf numFmtId="3" fontId="22" fillId="21" borderId="0" xfId="0" applyNumberFormat="1" applyFont="1" applyFill="1" applyAlignment="1"/>
    <xf numFmtId="1" fontId="22" fillId="21" borderId="0" xfId="0" applyNumberFormat="1" applyFont="1" applyFill="1" applyAlignment="1"/>
    <xf numFmtId="3" fontId="0" fillId="0" borderId="8" xfId="0" applyNumberFormat="1" applyBorder="1"/>
    <xf numFmtId="9" fontId="0" fillId="0" borderId="9" xfId="0" applyNumberFormat="1" applyBorder="1"/>
    <xf numFmtId="3" fontId="0" fillId="0" borderId="10" xfId="0" applyNumberFormat="1" applyBorder="1"/>
    <xf numFmtId="0" fontId="28" fillId="0" borderId="0" xfId="0" applyFont="1"/>
    <xf numFmtId="0" fontId="1" fillId="0" borderId="0" xfId="0" applyFont="1"/>
    <xf numFmtId="0" fontId="1" fillId="0" borderId="0" xfId="0" applyFont="1" applyAlignment="1">
      <alignment horizontal="center" vertical="center" wrapText="1"/>
    </xf>
    <xf numFmtId="3" fontId="1" fillId="0" borderId="0" xfId="0" applyNumberFormat="1" applyFont="1"/>
    <xf numFmtId="0" fontId="15" fillId="0" borderId="35" xfId="0" applyFont="1" applyBorder="1" applyAlignment="1">
      <alignment horizontal="center" vertical="center" wrapText="1"/>
    </xf>
    <xf numFmtId="0" fontId="15" fillId="0" borderId="36" xfId="0" applyFont="1" applyBorder="1" applyAlignment="1">
      <alignment horizontal="center" vertical="center" wrapText="1"/>
    </xf>
    <xf numFmtId="0" fontId="15" fillId="0" borderId="36" xfId="0" applyFont="1" applyBorder="1" applyAlignment="1">
      <alignment vertical="center" wrapText="1"/>
    </xf>
    <xf numFmtId="0" fontId="10" fillId="0" borderId="36" xfId="0" applyFont="1" applyBorder="1" applyAlignment="1">
      <alignment vertical="center" wrapText="1"/>
    </xf>
    <xf numFmtId="0" fontId="10" fillId="0" borderId="0" xfId="0" applyFont="1" applyAlignment="1">
      <alignment vertical="center" wrapText="1"/>
    </xf>
    <xf numFmtId="3" fontId="10" fillId="0" borderId="0" xfId="0" applyNumberFormat="1" applyFont="1" applyAlignment="1">
      <alignment horizontal="right" vertical="center"/>
    </xf>
    <xf numFmtId="3" fontId="10" fillId="0" borderId="36" xfId="0" applyNumberFormat="1" applyFont="1" applyBorder="1" applyAlignment="1">
      <alignment horizontal="right" vertical="center"/>
    </xf>
    <xf numFmtId="0" fontId="15" fillId="0" borderId="0" xfId="0" applyFont="1" applyAlignment="1">
      <alignment vertical="center" wrapText="1"/>
    </xf>
    <xf numFmtId="3" fontId="15" fillId="0" borderId="0" xfId="0" applyNumberFormat="1" applyFont="1" applyAlignment="1">
      <alignment horizontal="right" vertical="center"/>
    </xf>
    <xf numFmtId="3" fontId="15" fillId="0" borderId="36" xfId="0" applyNumberFormat="1" applyFont="1" applyBorder="1" applyAlignment="1">
      <alignment horizontal="right" vertical="center"/>
    </xf>
    <xf numFmtId="0" fontId="3" fillId="0" borderId="1" xfId="0" applyFont="1" applyBorder="1" applyAlignment="1">
      <alignment horizontal="center" vertical="center" wrapText="1"/>
    </xf>
    <xf numFmtId="9" fontId="3" fillId="0" borderId="1" xfId="0" applyNumberFormat="1" applyFont="1" applyBorder="1"/>
    <xf numFmtId="3" fontId="3" fillId="0" borderId="1" xfId="0" applyNumberFormat="1" applyFont="1" applyBorder="1"/>
    <xf numFmtId="3" fontId="15" fillId="0" borderId="36" xfId="0" applyNumberFormat="1" applyFont="1" applyBorder="1" applyAlignment="1">
      <alignment vertical="center" wrapText="1"/>
    </xf>
    <xf numFmtId="0" fontId="15" fillId="0" borderId="0" xfId="0" applyFont="1" applyBorder="1" applyAlignment="1">
      <alignment vertical="center" wrapText="1"/>
    </xf>
    <xf numFmtId="0" fontId="1" fillId="0" borderId="1" xfId="0" applyFont="1" applyBorder="1" applyAlignment="1">
      <alignment horizontal="center" vertical="center" wrapText="1"/>
    </xf>
    <xf numFmtId="0" fontId="1" fillId="0" borderId="1" xfId="0" applyFont="1" applyBorder="1"/>
    <xf numFmtId="3" fontId="1" fillId="0" borderId="1" xfId="0" applyNumberFormat="1" applyFont="1" applyBorder="1"/>
    <xf numFmtId="0" fontId="1" fillId="0" borderId="1" xfId="0" applyFont="1" applyBorder="1" applyAlignment="1">
      <alignment wrapText="1"/>
    </xf>
    <xf numFmtId="0" fontId="25" fillId="0" borderId="1" xfId="0" applyFont="1" applyBorder="1"/>
    <xf numFmtId="3" fontId="25" fillId="0" borderId="1" xfId="0" applyNumberFormat="1" applyFont="1" applyBorder="1"/>
    <xf numFmtId="0" fontId="32" fillId="0" borderId="1" xfId="0" applyFont="1" applyBorder="1"/>
    <xf numFmtId="3" fontId="32" fillId="0" borderId="1" xfId="0" applyNumberFormat="1" applyFont="1" applyBorder="1"/>
    <xf numFmtId="0" fontId="25" fillId="0" borderId="1" xfId="0" applyFont="1" applyBorder="1" applyAlignment="1">
      <alignment wrapText="1"/>
    </xf>
    <xf numFmtId="0" fontId="1" fillId="0" borderId="0" xfId="0" applyFont="1" applyAlignment="1"/>
    <xf numFmtId="0" fontId="25" fillId="6" borderId="1" xfId="0" applyFont="1" applyFill="1" applyBorder="1"/>
    <xf numFmtId="3" fontId="25" fillId="6" borderId="1" xfId="0" applyNumberFormat="1" applyFont="1" applyFill="1" applyBorder="1"/>
    <xf numFmtId="9" fontId="1" fillId="0" borderId="0" xfId="7" applyFont="1"/>
    <xf numFmtId="0" fontId="26" fillId="0" borderId="0" xfId="0" applyFont="1" applyAlignment="1">
      <alignment horizontal="center" vertical="center" wrapText="1"/>
    </xf>
    <xf numFmtId="0" fontId="26" fillId="0" borderId="1" xfId="0" applyFont="1" applyBorder="1" applyAlignment="1">
      <alignment horizontal="center" vertical="center" wrapText="1"/>
    </xf>
    <xf numFmtId="0" fontId="1" fillId="0" borderId="1" xfId="0" applyFont="1" applyBorder="1" applyAlignment="1">
      <alignment horizontal="center" vertical="center"/>
    </xf>
    <xf numFmtId="9" fontId="1" fillId="0" borderId="1" xfId="0" applyNumberFormat="1" applyFont="1" applyBorder="1" applyAlignment="1">
      <alignment horizontal="center" vertical="center"/>
    </xf>
    <xf numFmtId="0" fontId="32" fillId="0" borderId="0" xfId="0" applyFont="1"/>
    <xf numFmtId="3" fontId="32" fillId="0" borderId="22" xfId="0" applyNumberFormat="1" applyFont="1" applyBorder="1"/>
    <xf numFmtId="3" fontId="1" fillId="0" borderId="22" xfId="0" applyNumberFormat="1" applyFont="1" applyBorder="1"/>
    <xf numFmtId="3" fontId="32" fillId="0" borderId="41" xfId="0" applyNumberFormat="1" applyFont="1" applyBorder="1"/>
    <xf numFmtId="0" fontId="0" fillId="0" borderId="0" xfId="0" applyAlignment="1">
      <alignment horizontal="center" vertical="center"/>
    </xf>
    <xf numFmtId="0" fontId="0" fillId="0" borderId="0" xfId="0" applyAlignment="1">
      <alignment horizontal="center" vertical="center"/>
    </xf>
    <xf numFmtId="0" fontId="34" fillId="0" borderId="0" xfId="0" applyFont="1" applyBorder="1" applyAlignment="1">
      <alignment horizontal="right" vertical="center"/>
    </xf>
    <xf numFmtId="0" fontId="14" fillId="0" borderId="1" xfId="0" applyFont="1" applyFill="1" applyBorder="1"/>
    <xf numFmtId="3" fontId="10" fillId="0" borderId="1" xfId="0" applyNumberFormat="1" applyFont="1" applyBorder="1" applyAlignment="1">
      <alignment horizontal="right" vertical="center"/>
    </xf>
    <xf numFmtId="3" fontId="14" fillId="0" borderId="1" xfId="0" applyNumberFormat="1" applyFont="1" applyFill="1" applyBorder="1"/>
    <xf numFmtId="3" fontId="34" fillId="6" borderId="1" xfId="0" applyNumberFormat="1" applyFont="1" applyFill="1" applyBorder="1" applyAlignment="1">
      <alignment horizontal="right" vertical="center"/>
    </xf>
    <xf numFmtId="3" fontId="0" fillId="6" borderId="1" xfId="0" applyNumberFormat="1" applyFill="1" applyBorder="1"/>
    <xf numFmtId="0" fontId="0" fillId="6" borderId="1" xfId="0" applyFill="1" applyBorder="1" applyAlignment="1">
      <alignment horizontal="center" vertical="center" wrapText="1"/>
    </xf>
    <xf numFmtId="0" fontId="0" fillId="10" borderId="1" xfId="0" applyFill="1" applyBorder="1" applyAlignment="1">
      <alignment horizontal="center" vertical="center" wrapText="1"/>
    </xf>
    <xf numFmtId="0" fontId="0" fillId="13" borderId="1" xfId="0" applyFill="1" applyBorder="1" applyAlignment="1">
      <alignment horizontal="center" vertical="center" wrapText="1"/>
    </xf>
    <xf numFmtId="0" fontId="0" fillId="20" borderId="1" xfId="0" applyFill="1" applyBorder="1" applyAlignment="1">
      <alignment horizontal="center" vertical="center" wrapText="1"/>
    </xf>
    <xf numFmtId="0" fontId="0" fillId="6" borderId="0" xfId="0" applyFill="1"/>
    <xf numFmtId="0" fontId="0" fillId="0" borderId="0" xfId="0" applyFill="1"/>
    <xf numFmtId="0" fontId="0" fillId="0" borderId="0" xfId="0" applyFill="1" applyAlignment="1">
      <alignment wrapText="1"/>
    </xf>
    <xf numFmtId="0" fontId="0" fillId="12" borderId="0" xfId="0" applyFill="1"/>
    <xf numFmtId="3" fontId="0" fillId="12" borderId="0" xfId="0" applyNumberFormat="1" applyFill="1"/>
    <xf numFmtId="0" fontId="0" fillId="0" borderId="1" xfId="0" applyBorder="1" applyAlignment="1">
      <alignment horizontal="right"/>
    </xf>
    <xf numFmtId="0" fontId="3" fillId="0" borderId="3" xfId="0" applyFont="1" applyBorder="1" applyAlignment="1">
      <alignment horizontal="center"/>
    </xf>
    <xf numFmtId="0" fontId="3" fillId="0" borderId="4" xfId="0" applyFont="1" applyBorder="1" applyAlignment="1">
      <alignment horizontal="center"/>
    </xf>
    <xf numFmtId="0" fontId="3" fillId="0" borderId="5" xfId="0" applyFont="1"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0" fillId="0" borderId="19" xfId="0" applyBorder="1" applyAlignment="1">
      <alignment horizontal="center"/>
    </xf>
    <xf numFmtId="0" fontId="0" fillId="0" borderId="20" xfId="0" applyBorder="1" applyAlignment="1">
      <alignment horizontal="center"/>
    </xf>
    <xf numFmtId="0" fontId="0" fillId="0" borderId="1" xfId="0" applyBorder="1" applyAlignment="1">
      <alignment horizontal="center"/>
    </xf>
    <xf numFmtId="0" fontId="15" fillId="0" borderId="37" xfId="0" applyFont="1" applyBorder="1" applyAlignment="1">
      <alignment horizontal="center" wrapText="1"/>
    </xf>
    <xf numFmtId="0" fontId="15" fillId="0" borderId="39" xfId="0" applyFont="1" applyBorder="1" applyAlignment="1">
      <alignment horizontal="center" wrapText="1"/>
    </xf>
    <xf numFmtId="0" fontId="15" fillId="0" borderId="35" xfId="0" applyFont="1" applyBorder="1" applyAlignment="1">
      <alignment horizontal="center" wrapText="1"/>
    </xf>
    <xf numFmtId="0" fontId="15" fillId="0" borderId="0" xfId="0" applyFont="1" applyBorder="1" applyAlignment="1">
      <alignment horizontal="center" wrapText="1"/>
    </xf>
    <xf numFmtId="0" fontId="15" fillId="0" borderId="34" xfId="0" applyFont="1" applyBorder="1" applyAlignment="1">
      <alignment horizontal="center"/>
    </xf>
    <xf numFmtId="0" fontId="3" fillId="0" borderId="1" xfId="0" applyFont="1" applyBorder="1" applyAlignment="1">
      <alignment horizontal="center" vertical="center"/>
    </xf>
    <xf numFmtId="0" fontId="0" fillId="0" borderId="1" xfId="0" applyBorder="1" applyAlignment="1"/>
    <xf numFmtId="0" fontId="0" fillId="0" borderId="1" xfId="0" applyBorder="1" applyAlignment="1">
      <alignment horizontal="center" vertical="center" wrapText="1"/>
    </xf>
    <xf numFmtId="0" fontId="0" fillId="0" borderId="1" xfId="0" applyBorder="1" applyAlignment="1">
      <alignment horizontal="left"/>
    </xf>
    <xf numFmtId="0" fontId="3" fillId="0" borderId="3" xfId="0" applyFont="1" applyBorder="1" applyAlignment="1">
      <alignment horizontal="left"/>
    </xf>
    <xf numFmtId="0" fontId="3" fillId="0" borderId="4" xfId="0" applyFont="1" applyBorder="1" applyAlignment="1">
      <alignment horizontal="left"/>
    </xf>
    <xf numFmtId="0" fontId="0" fillId="0" borderId="16" xfId="0" applyBorder="1" applyAlignment="1">
      <alignment horizontal="left"/>
    </xf>
    <xf numFmtId="0" fontId="0" fillId="0" borderId="17" xfId="0" applyBorder="1" applyAlignment="1">
      <alignment horizontal="left"/>
    </xf>
    <xf numFmtId="0" fontId="0" fillId="0" borderId="3" xfId="0" applyBorder="1" applyAlignment="1">
      <alignment horizontal="left"/>
    </xf>
    <xf numFmtId="0" fontId="0" fillId="0" borderId="4" xfId="0" applyBorder="1" applyAlignment="1">
      <alignment horizontal="left"/>
    </xf>
    <xf numFmtId="0" fontId="15" fillId="0" borderId="24" xfId="0" applyFont="1" applyBorder="1" applyAlignment="1">
      <alignment horizontal="center" wrapText="1"/>
    </xf>
    <xf numFmtId="0" fontId="15" fillId="0" borderId="26" xfId="0" applyFont="1" applyBorder="1" applyAlignment="1">
      <alignment horizontal="center" wrapText="1"/>
    </xf>
    <xf numFmtId="0" fontId="15" fillId="0" borderId="27" xfId="0" applyFont="1" applyBorder="1" applyAlignment="1">
      <alignment horizontal="center" wrapText="1"/>
    </xf>
    <xf numFmtId="0" fontId="15" fillId="0" borderId="25" xfId="0" applyFont="1" applyBorder="1" applyAlignment="1">
      <alignment horizontal="center" wrapText="1"/>
    </xf>
    <xf numFmtId="0" fontId="15" fillId="0" borderId="1" xfId="0" applyFont="1" applyBorder="1" applyAlignment="1">
      <alignment horizontal="center" wrapText="1"/>
    </xf>
    <xf numFmtId="0" fontId="15" fillId="0" borderId="16" xfId="0" applyFont="1" applyBorder="1" applyAlignment="1">
      <alignment horizontal="center" wrapText="1"/>
    </xf>
    <xf numFmtId="0" fontId="14" fillId="2" borderId="1" xfId="0" applyFont="1" applyFill="1" applyBorder="1" applyAlignment="1">
      <alignment horizontal="center"/>
    </xf>
    <xf numFmtId="0" fontId="14" fillId="2" borderId="21" xfId="0" applyFont="1" applyFill="1" applyBorder="1" applyAlignment="1">
      <alignment horizontal="center"/>
    </xf>
    <xf numFmtId="0" fontId="14" fillId="2" borderId="22" xfId="0" applyFont="1" applyFill="1" applyBorder="1" applyAlignment="1">
      <alignment horizontal="center"/>
    </xf>
    <xf numFmtId="0" fontId="3" fillId="0" borderId="1" xfId="0" applyFont="1" applyBorder="1" applyAlignment="1">
      <alignment horizontal="left"/>
    </xf>
    <xf numFmtId="0" fontId="31" fillId="0" borderId="36" xfId="0" applyFont="1" applyBorder="1" applyAlignment="1">
      <alignment horizontal="center"/>
    </xf>
    <xf numFmtId="0" fontId="15" fillId="0" borderId="35" xfId="0" applyFont="1" applyBorder="1" applyAlignment="1">
      <alignment horizontal="center" vertical="center" wrapText="1"/>
    </xf>
    <xf numFmtId="0" fontId="15" fillId="0" borderId="36" xfId="0" applyFont="1" applyBorder="1" applyAlignment="1">
      <alignment horizontal="center" vertical="center" wrapText="1"/>
    </xf>
    <xf numFmtId="0" fontId="15" fillId="0" borderId="40" xfId="0" applyFont="1" applyBorder="1" applyAlignment="1">
      <alignment horizontal="center" vertical="center" wrapText="1"/>
    </xf>
    <xf numFmtId="0" fontId="14" fillId="10" borderId="21" xfId="0" applyFont="1" applyFill="1" applyBorder="1" applyAlignment="1">
      <alignment horizontal="center" vertical="center" wrapText="1"/>
    </xf>
    <xf numFmtId="0" fontId="14" fillId="10" borderId="22" xfId="0" applyFont="1" applyFill="1" applyBorder="1" applyAlignment="1">
      <alignment horizontal="center" vertical="center" wrapText="1"/>
    </xf>
    <xf numFmtId="0" fontId="14" fillId="10" borderId="23" xfId="0" applyFont="1" applyFill="1" applyBorder="1" applyAlignment="1">
      <alignment horizontal="center" vertical="center" wrapText="1"/>
    </xf>
    <xf numFmtId="0" fontId="14" fillId="6" borderId="21" xfId="0" applyFont="1" applyFill="1" applyBorder="1" applyAlignment="1">
      <alignment horizontal="center" vertical="center" wrapText="1"/>
    </xf>
    <xf numFmtId="0" fontId="14" fillId="6" borderId="22" xfId="0" applyFont="1" applyFill="1" applyBorder="1" applyAlignment="1">
      <alignment horizontal="center" vertical="center" wrapText="1"/>
    </xf>
    <xf numFmtId="0" fontId="14" fillId="6" borderId="23" xfId="0" applyFont="1" applyFill="1" applyBorder="1" applyAlignment="1">
      <alignment horizontal="center" vertical="center" wrapText="1"/>
    </xf>
    <xf numFmtId="0" fontId="14" fillId="0" borderId="21" xfId="0" applyFont="1" applyFill="1" applyBorder="1" applyAlignment="1">
      <alignment horizontal="center" vertical="center" wrapText="1"/>
    </xf>
    <xf numFmtId="0" fontId="14" fillId="0" borderId="22" xfId="0" applyFont="1" applyFill="1" applyBorder="1" applyAlignment="1">
      <alignment horizontal="center" vertical="center" wrapText="1"/>
    </xf>
    <xf numFmtId="0" fontId="14" fillId="0" borderId="23" xfId="0" applyFont="1" applyFill="1" applyBorder="1" applyAlignment="1">
      <alignment horizontal="center" vertical="center" wrapText="1"/>
    </xf>
    <xf numFmtId="0" fontId="14" fillId="3" borderId="1" xfId="0" applyFont="1" applyFill="1" applyBorder="1" applyAlignment="1">
      <alignment horizontal="center"/>
    </xf>
    <xf numFmtId="0" fontId="14" fillId="0" borderId="1" xfId="0" applyFont="1" applyFill="1" applyBorder="1" applyAlignment="1">
      <alignment horizontal="center" vertical="center" wrapText="1"/>
    </xf>
    <xf numFmtId="0" fontId="14" fillId="20" borderId="21" xfId="0" applyFont="1" applyFill="1" applyBorder="1" applyAlignment="1">
      <alignment horizontal="center" vertical="center" wrapText="1"/>
    </xf>
    <xf numFmtId="0" fontId="14" fillId="20" borderId="22" xfId="0" applyFont="1" applyFill="1" applyBorder="1" applyAlignment="1">
      <alignment horizontal="center" vertical="center" wrapText="1"/>
    </xf>
    <xf numFmtId="0" fontId="14" fillId="20" borderId="23" xfId="0" applyFont="1" applyFill="1" applyBorder="1" applyAlignment="1">
      <alignment horizontal="center" vertical="center" wrapText="1"/>
    </xf>
    <xf numFmtId="0" fontId="14" fillId="13" borderId="21" xfId="0" applyFont="1" applyFill="1" applyBorder="1" applyAlignment="1">
      <alignment horizontal="center" vertical="center" wrapText="1"/>
    </xf>
    <xf numFmtId="0" fontId="14" fillId="13" borderId="22" xfId="0" applyFont="1" applyFill="1" applyBorder="1" applyAlignment="1">
      <alignment horizontal="center" vertical="center" wrapText="1"/>
    </xf>
    <xf numFmtId="0" fontId="14" fillId="13" borderId="23" xfId="0" applyFont="1" applyFill="1" applyBorder="1" applyAlignment="1">
      <alignment horizontal="center" vertical="center" wrapText="1"/>
    </xf>
    <xf numFmtId="0" fontId="24" fillId="0" borderId="0" xfId="0" applyFont="1" applyFill="1" applyBorder="1" applyAlignment="1">
      <alignment horizontal="center" wrapText="1"/>
    </xf>
    <xf numFmtId="0" fontId="16" fillId="0" borderId="1" xfId="0" applyFont="1" applyBorder="1" applyAlignment="1">
      <alignment horizontal="center"/>
    </xf>
    <xf numFmtId="0" fontId="17" fillId="0" borderId="1" xfId="0" applyFont="1" applyFill="1" applyBorder="1" applyAlignment="1">
      <alignment horizontal="center" vertical="center" wrapText="1"/>
    </xf>
    <xf numFmtId="0" fontId="18" fillId="0" borderId="1" xfId="0" applyFont="1" applyBorder="1" applyAlignment="1">
      <alignment horizontal="center" vertical="center"/>
    </xf>
    <xf numFmtId="0" fontId="18" fillId="0" borderId="1" xfId="0" applyFont="1" applyBorder="1" applyAlignment="1">
      <alignment horizontal="center" vertical="center" wrapText="1"/>
    </xf>
    <xf numFmtId="0" fontId="22" fillId="21" borderId="0" xfId="0" applyFont="1" applyFill="1" applyAlignment="1">
      <alignment horizontal="center"/>
    </xf>
    <xf numFmtId="0" fontId="26" fillId="0" borderId="16" xfId="0" applyFont="1" applyBorder="1" applyAlignment="1">
      <alignment horizontal="center" vertical="center" wrapText="1"/>
    </xf>
    <xf numFmtId="0" fontId="26" fillId="0" borderId="17" xfId="0" applyFont="1" applyBorder="1" applyAlignment="1">
      <alignment horizontal="center" vertical="center" wrapText="1"/>
    </xf>
    <xf numFmtId="0" fontId="1" fillId="0" borderId="40" xfId="0" applyFont="1" applyBorder="1" applyAlignment="1">
      <alignment horizontal="center" vertical="center"/>
    </xf>
    <xf numFmtId="0" fontId="1" fillId="0" borderId="0" xfId="0" applyFont="1" applyAlignment="1">
      <alignment horizontal="left"/>
    </xf>
    <xf numFmtId="0" fontId="1" fillId="0" borderId="0" xfId="0" applyFont="1" applyAlignment="1">
      <alignment horizontal="center"/>
    </xf>
    <xf numFmtId="0" fontId="27" fillId="0" borderId="0" xfId="0" applyFont="1" applyAlignment="1">
      <alignment horizontal="center"/>
    </xf>
    <xf numFmtId="0" fontId="0" fillId="0" borderId="0" xfId="0" applyAlignment="1">
      <alignment horizontal="center"/>
    </xf>
    <xf numFmtId="0" fontId="0" fillId="0" borderId="0" xfId="0" applyAlignment="1">
      <alignment horizontal="center" vertical="center"/>
    </xf>
    <xf numFmtId="0" fontId="35" fillId="0" borderId="42" xfId="0" applyFont="1" applyBorder="1" applyAlignment="1">
      <alignment horizontal="center"/>
    </xf>
    <xf numFmtId="0" fontId="36" fillId="0" borderId="43" xfId="0" applyFont="1" applyBorder="1" applyAlignment="1">
      <alignment horizontal="centerContinuous" vertical="center" wrapText="1"/>
    </xf>
    <xf numFmtId="0" fontId="36" fillId="0" borderId="44" xfId="0" applyFont="1" applyBorder="1" applyAlignment="1">
      <alignment horizontal="center" vertical="center" wrapText="1"/>
    </xf>
    <xf numFmtId="0" fontId="36" fillId="0" borderId="45" xfId="0" applyFont="1" applyBorder="1" applyAlignment="1">
      <alignment horizontal="center" vertical="center" wrapText="1"/>
    </xf>
    <xf numFmtId="0" fontId="36" fillId="0" borderId="44" xfId="0" quotePrefix="1" applyFont="1" applyBorder="1" applyAlignment="1">
      <alignment horizontal="center" vertical="center" wrapText="1"/>
    </xf>
    <xf numFmtId="0" fontId="36" fillId="0" borderId="45" xfId="0" quotePrefix="1" applyFont="1" applyBorder="1" applyAlignment="1">
      <alignment horizontal="center" vertical="center" wrapText="1"/>
    </xf>
    <xf numFmtId="0" fontId="17" fillId="0" borderId="43" xfId="0" applyFont="1" applyBorder="1"/>
    <xf numFmtId="3" fontId="36" fillId="0" borderId="43" xfId="0" applyNumberFormat="1" applyFont="1" applyBorder="1"/>
    <xf numFmtId="0" fontId="36" fillId="0" borderId="43" xfId="0" applyFont="1" applyBorder="1"/>
    <xf numFmtId="0" fontId="37" fillId="0" borderId="43" xfId="0" applyFont="1" applyBorder="1"/>
    <xf numFmtId="0" fontId="37" fillId="0" borderId="43" xfId="0" applyFont="1" applyBorder="1" applyAlignment="1">
      <alignment horizontal="left" vertical="center" wrapText="1"/>
    </xf>
    <xf numFmtId="167" fontId="36" fillId="0" borderId="43" xfId="8" applyNumberFormat="1" applyFont="1" applyBorder="1"/>
    <xf numFmtId="167" fontId="36" fillId="0" borderId="43" xfId="0" applyNumberFormat="1" applyFont="1" applyBorder="1"/>
    <xf numFmtId="0" fontId="36" fillId="0" borderId="0" xfId="0" applyFont="1"/>
    <xf numFmtId="3" fontId="36" fillId="0" borderId="0" xfId="0" applyNumberFormat="1" applyFont="1"/>
    <xf numFmtId="0" fontId="36" fillId="0" borderId="0" xfId="0" quotePrefix="1" applyFont="1" applyAlignment="1">
      <alignment horizontal="left"/>
    </xf>
    <xf numFmtId="3" fontId="36" fillId="0" borderId="0" xfId="0" applyNumberFormat="1" applyFont="1" applyBorder="1"/>
    <xf numFmtId="3" fontId="36" fillId="0" borderId="40" xfId="0" applyNumberFormat="1" applyFont="1" applyBorder="1"/>
    <xf numFmtId="3" fontId="36" fillId="0" borderId="41" xfId="0" applyNumberFormat="1" applyFont="1" applyBorder="1"/>
    <xf numFmtId="0" fontId="38" fillId="0" borderId="0" xfId="0" applyFont="1" applyAlignment="1">
      <alignment horizontal="center" vertical="center" wrapText="1"/>
    </xf>
    <xf numFmtId="0" fontId="36" fillId="0" borderId="22" xfId="0" applyFont="1" applyBorder="1"/>
    <xf numFmtId="0" fontId="17" fillId="0" borderId="22" xfId="0" applyFont="1" applyBorder="1" applyAlignment="1">
      <alignment horizontal="center" vertical="center"/>
    </xf>
    <xf numFmtId="0" fontId="17" fillId="0" borderId="22" xfId="0" quotePrefix="1" applyFont="1" applyBorder="1" applyAlignment="1">
      <alignment horizontal="center" vertical="center"/>
    </xf>
    <xf numFmtId="0" fontId="39" fillId="0" borderId="0" xfId="0" applyFont="1"/>
    <xf numFmtId="3" fontId="39" fillId="0" borderId="22" xfId="0" applyNumberFormat="1" applyFont="1" applyBorder="1"/>
    <xf numFmtId="3" fontId="19" fillId="0" borderId="0" xfId="0" applyNumberFormat="1" applyFont="1"/>
    <xf numFmtId="0" fontId="19" fillId="0" borderId="0" xfId="0" applyFont="1"/>
    <xf numFmtId="0" fontId="36" fillId="0" borderId="0" xfId="0" quotePrefix="1" applyFont="1" applyAlignment="1">
      <alignment horizontal="left" vertical="center" wrapText="1"/>
    </xf>
    <xf numFmtId="0" fontId="39" fillId="0" borderId="0" xfId="0" quotePrefix="1" applyFont="1" applyAlignment="1">
      <alignment horizontal="left"/>
    </xf>
    <xf numFmtId="0" fontId="39" fillId="0" borderId="0" xfId="0" applyFont="1" applyAlignment="1">
      <alignment horizontal="left"/>
    </xf>
    <xf numFmtId="3" fontId="39" fillId="0" borderId="0" xfId="0" applyNumberFormat="1" applyFont="1" applyBorder="1"/>
    <xf numFmtId="3" fontId="39" fillId="0" borderId="41" xfId="0" applyNumberFormat="1" applyFont="1" applyBorder="1"/>
    <xf numFmtId="0" fontId="38" fillId="0" borderId="0" xfId="0" applyFont="1" applyBorder="1" applyAlignment="1">
      <alignment horizontal="center" vertical="center" wrapText="1"/>
    </xf>
    <xf numFmtId="0" fontId="40" fillId="0" borderId="0" xfId="0" applyFont="1" applyBorder="1" applyAlignment="1">
      <alignment horizontal="right" vertical="center"/>
    </xf>
    <xf numFmtId="0" fontId="40" fillId="0" borderId="0" xfId="0" applyFont="1" applyBorder="1" applyAlignment="1">
      <alignment horizontal="center" vertical="center"/>
    </xf>
    <xf numFmtId="0" fontId="40" fillId="0" borderId="0" xfId="0" quotePrefix="1" applyFont="1" applyBorder="1" applyAlignment="1">
      <alignment horizontal="center" vertical="center"/>
    </xf>
    <xf numFmtId="0" fontId="41" fillId="0" borderId="0" xfId="0" applyFont="1" applyAlignment="1">
      <alignment horizontal="right" vertical="center"/>
    </xf>
    <xf numFmtId="0" fontId="36" fillId="0" borderId="0" xfId="0" applyFont="1" applyBorder="1" applyAlignment="1">
      <alignment horizontal="justify" vertical="center"/>
    </xf>
    <xf numFmtId="3" fontId="36" fillId="0" borderId="0" xfId="0" applyNumberFormat="1" applyFont="1" applyBorder="1" applyAlignment="1">
      <alignment horizontal="center"/>
    </xf>
    <xf numFmtId="0" fontId="36" fillId="0" borderId="0" xfId="0" applyFont="1" applyBorder="1" applyAlignment="1">
      <alignment horizontal="center"/>
    </xf>
    <xf numFmtId="0" fontId="36" fillId="0" borderId="0" xfId="0" applyFont="1" applyBorder="1" applyAlignment="1">
      <alignment horizontal="justify"/>
    </xf>
    <xf numFmtId="0" fontId="36" fillId="0" borderId="40" xfId="0" applyFont="1" applyBorder="1"/>
    <xf numFmtId="0" fontId="36" fillId="0" borderId="0" xfId="0" applyFont="1" applyBorder="1"/>
    <xf numFmtId="0" fontId="39" fillId="0" borderId="0" xfId="0" applyFont="1" applyBorder="1" applyAlignment="1">
      <alignment horizontal="justify"/>
    </xf>
    <xf numFmtId="0" fontId="39" fillId="0" borderId="0" xfId="0" applyFont="1" applyBorder="1"/>
    <xf numFmtId="3" fontId="39" fillId="0" borderId="42" xfId="0" applyNumberFormat="1" applyFont="1" applyBorder="1"/>
    <xf numFmtId="0" fontId="36" fillId="0" borderId="0" xfId="0" quotePrefix="1" applyFont="1" applyBorder="1" applyAlignment="1">
      <alignment horizontal="left"/>
    </xf>
    <xf numFmtId="0" fontId="36" fillId="0" borderId="0" xfId="0" applyFont="1" applyBorder="1" applyAlignment="1">
      <alignment horizontal="left" vertical="center" wrapText="1" indent="4"/>
    </xf>
    <xf numFmtId="0" fontId="36" fillId="0" borderId="40" xfId="0" applyFont="1" applyBorder="1" applyAlignment="1">
      <alignment wrapText="1"/>
    </xf>
    <xf numFmtId="0" fontId="36" fillId="0" borderId="0" xfId="0" applyFont="1" applyBorder="1" applyAlignment="1">
      <alignment wrapText="1"/>
    </xf>
    <xf numFmtId="3" fontId="36" fillId="0" borderId="40" xfId="0" applyNumberFormat="1" applyFont="1" applyBorder="1" applyAlignment="1">
      <alignment wrapText="1"/>
    </xf>
    <xf numFmtId="3" fontId="36" fillId="0" borderId="0" xfId="0" applyNumberFormat="1" applyFont="1" applyBorder="1" applyAlignment="1">
      <alignment wrapText="1"/>
    </xf>
    <xf numFmtId="0" fontId="0" fillId="0" borderId="0" xfId="0" applyAlignment="1">
      <alignment wrapText="1"/>
    </xf>
    <xf numFmtId="0" fontId="36" fillId="0" borderId="0" xfId="0" applyFont="1" applyBorder="1" applyAlignment="1">
      <alignment horizontal="justify" vertical="center" wrapText="1"/>
    </xf>
    <xf numFmtId="0" fontId="42" fillId="0" borderId="0" xfId="0" applyFont="1" applyBorder="1" applyAlignment="1">
      <alignment horizontal="center" vertical="center"/>
    </xf>
    <xf numFmtId="0" fontId="43" fillId="0" borderId="2" xfId="0" applyFont="1" applyBorder="1" applyAlignment="1">
      <alignment horizontal="center" vertical="center"/>
    </xf>
    <xf numFmtId="0" fontId="43" fillId="0" borderId="2" xfId="0" applyFont="1" applyBorder="1" applyAlignment="1">
      <alignment horizontal="center" vertical="center" wrapText="1"/>
    </xf>
    <xf numFmtId="4" fontId="16" fillId="0" borderId="2" xfId="0" applyNumberFormat="1" applyFont="1" applyBorder="1" applyAlignment="1">
      <alignment horizontal="center" vertical="center"/>
    </xf>
    <xf numFmtId="0" fontId="11" fillId="0" borderId="2" xfId="0" applyFont="1" applyBorder="1" applyAlignment="1">
      <alignment horizontal="center" vertical="center" wrapText="1"/>
    </xf>
    <xf numFmtId="0" fontId="24" fillId="0" borderId="2" xfId="0" applyFont="1" applyBorder="1" applyAlignment="1">
      <alignment horizontal="center" vertical="center" wrapText="1"/>
    </xf>
    <xf numFmtId="0" fontId="18" fillId="0" borderId="2" xfId="0" applyFont="1" applyBorder="1" applyAlignment="1">
      <alignment horizontal="center" vertical="center" wrapText="1"/>
    </xf>
    <xf numFmtId="4" fontId="43" fillId="0" borderId="2" xfId="0" applyNumberFormat="1" applyFont="1" applyBorder="1" applyAlignment="1">
      <alignment horizontal="center" vertical="center"/>
    </xf>
    <xf numFmtId="0" fontId="18" fillId="0" borderId="2" xfId="0" applyFont="1" applyBorder="1" applyAlignment="1">
      <alignment horizontal="justify" vertical="center" wrapText="1"/>
    </xf>
    <xf numFmtId="0" fontId="0" fillId="0" borderId="2" xfId="0" applyBorder="1" applyAlignment="1">
      <alignment horizontal="center" vertical="center" wrapText="1"/>
    </xf>
    <xf numFmtId="0" fontId="24" fillId="0" borderId="2" xfId="0" applyFont="1" applyBorder="1" applyAlignment="1">
      <alignment horizontal="center" vertical="center" wrapText="1"/>
    </xf>
    <xf numFmtId="0" fontId="11" fillId="0" borderId="46" xfId="0" applyFont="1" applyBorder="1" applyAlignment="1">
      <alignment horizontal="center" vertical="center" wrapText="1"/>
    </xf>
    <xf numFmtId="0" fontId="11" fillId="0" borderId="47" xfId="0" applyFont="1" applyBorder="1" applyAlignment="1">
      <alignment horizontal="center" vertical="center"/>
    </xf>
    <xf numFmtId="0" fontId="11" fillId="0" borderId="48" xfId="0" applyFont="1" applyBorder="1" applyAlignment="1">
      <alignment horizontal="center" vertical="center"/>
    </xf>
    <xf numFmtId="0" fontId="24" fillId="0" borderId="0" xfId="0" applyFont="1" applyAlignment="1">
      <alignment horizontal="center" vertical="center" wrapText="1"/>
    </xf>
    <xf numFmtId="0" fontId="18" fillId="0" borderId="0" xfId="0" applyFont="1" applyAlignment="1">
      <alignment horizontal="center" vertical="center"/>
    </xf>
    <xf numFmtId="4" fontId="24" fillId="0" borderId="0" xfId="0" applyNumberFormat="1" applyFont="1" applyAlignment="1">
      <alignment horizontal="center" vertical="center"/>
    </xf>
    <xf numFmtId="0" fontId="11" fillId="0" borderId="0" xfId="0" applyFont="1" applyAlignment="1">
      <alignment horizontal="justify" vertical="center" wrapText="1"/>
    </xf>
    <xf numFmtId="0" fontId="36" fillId="0" borderId="43" xfId="0" applyFont="1" applyBorder="1" applyAlignment="1">
      <alignment horizontal="center" vertical="center"/>
    </xf>
  </cellXfs>
  <cellStyles count="9">
    <cellStyle name="Millares" xfId="8" builtinId="3"/>
    <cellStyle name="Millares 2" xfId="4"/>
    <cellStyle name="Moneda" xfId="1" builtinId="4"/>
    <cellStyle name="Normal" xfId="0" builtinId="0"/>
    <cellStyle name="Normal 2" xfId="5"/>
    <cellStyle name="Normal 3" xfId="2"/>
    <cellStyle name="Porcentaje" xfId="7" builtinId="5"/>
    <cellStyle name="Porcentaje 2" xfId="6"/>
    <cellStyle name="Porcentual 2"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ES" sz="1400"/>
              <a:t>PUNTO DE QUILIBRIO ENVASE 473 ML AÑO 1</a:t>
            </a:r>
          </a:p>
        </c:rich>
      </c:tx>
      <c:layout/>
      <c:overlay val="1"/>
    </c:title>
    <c:autoTitleDeleted val="0"/>
    <c:plotArea>
      <c:layout>
        <c:manualLayout>
          <c:layoutTarget val="inner"/>
          <c:xMode val="edge"/>
          <c:yMode val="edge"/>
          <c:x val="0.16065507436570423"/>
          <c:y val="0.11851612103970638"/>
          <c:w val="0.79341447944007004"/>
          <c:h val="0.72987505304351985"/>
        </c:manualLayout>
      </c:layout>
      <c:lineChart>
        <c:grouping val="standard"/>
        <c:varyColors val="0"/>
        <c:ser>
          <c:idx val="0"/>
          <c:order val="0"/>
          <c:tx>
            <c:strRef>
              <c:f>'HOJA 6'!$C$40</c:f>
              <c:strCache>
                <c:ptCount val="1"/>
                <c:pt idx="0">
                  <c:v>VENTAS</c:v>
                </c:pt>
              </c:strCache>
            </c:strRef>
          </c:tx>
          <c:marker>
            <c:symbol val="none"/>
          </c:marker>
          <c:cat>
            <c:numRef>
              <c:f>'HOJA 6'!$B$41:$B$42</c:f>
              <c:numCache>
                <c:formatCode>#,##0</c:formatCode>
                <c:ptCount val="2"/>
                <c:pt idx="0" formatCode="General">
                  <c:v>0</c:v>
                </c:pt>
                <c:pt idx="1">
                  <c:v>120000</c:v>
                </c:pt>
              </c:numCache>
            </c:numRef>
          </c:cat>
          <c:val>
            <c:numRef>
              <c:f>'HOJA 6'!$C$41:$C$42</c:f>
              <c:numCache>
                <c:formatCode>#,##0</c:formatCode>
                <c:ptCount val="2"/>
                <c:pt idx="0" formatCode="General">
                  <c:v>0</c:v>
                </c:pt>
                <c:pt idx="1">
                  <c:v>73800000</c:v>
                </c:pt>
              </c:numCache>
            </c:numRef>
          </c:val>
          <c:smooth val="0"/>
        </c:ser>
        <c:ser>
          <c:idx val="1"/>
          <c:order val="1"/>
          <c:tx>
            <c:strRef>
              <c:f>'HOJA 6'!$D$40</c:f>
              <c:strCache>
                <c:ptCount val="1"/>
                <c:pt idx="0">
                  <c:v>COSTOS FIJOS</c:v>
                </c:pt>
              </c:strCache>
            </c:strRef>
          </c:tx>
          <c:marker>
            <c:symbol val="none"/>
          </c:marker>
          <c:cat>
            <c:numRef>
              <c:f>'HOJA 6'!$B$41:$B$42</c:f>
              <c:numCache>
                <c:formatCode>#,##0</c:formatCode>
                <c:ptCount val="2"/>
                <c:pt idx="0" formatCode="General">
                  <c:v>0</c:v>
                </c:pt>
                <c:pt idx="1">
                  <c:v>120000</c:v>
                </c:pt>
              </c:numCache>
            </c:numRef>
          </c:cat>
          <c:val>
            <c:numRef>
              <c:f>'HOJA 6'!$D$41:$D$42</c:f>
              <c:numCache>
                <c:formatCode>#,##0</c:formatCode>
                <c:ptCount val="2"/>
                <c:pt idx="0">
                  <c:v>17931133.331830986</c:v>
                </c:pt>
                <c:pt idx="1">
                  <c:v>17931133.331830986</c:v>
                </c:pt>
              </c:numCache>
            </c:numRef>
          </c:val>
          <c:smooth val="0"/>
        </c:ser>
        <c:ser>
          <c:idx val="2"/>
          <c:order val="2"/>
          <c:tx>
            <c:strRef>
              <c:f>'HOJA 6'!$E$40</c:f>
              <c:strCache>
                <c:ptCount val="1"/>
                <c:pt idx="0">
                  <c:v>COSTOS FIJOS+ COSTOS VARIABLES</c:v>
                </c:pt>
              </c:strCache>
            </c:strRef>
          </c:tx>
          <c:marker>
            <c:symbol val="none"/>
          </c:marker>
          <c:cat>
            <c:numRef>
              <c:f>'HOJA 6'!$B$41:$B$42</c:f>
              <c:numCache>
                <c:formatCode>#,##0</c:formatCode>
                <c:ptCount val="2"/>
                <c:pt idx="0" formatCode="General">
                  <c:v>0</c:v>
                </c:pt>
                <c:pt idx="1">
                  <c:v>120000</c:v>
                </c:pt>
              </c:numCache>
            </c:numRef>
          </c:cat>
          <c:val>
            <c:numRef>
              <c:f>'HOJA 6'!$E$41:$E$42</c:f>
              <c:numCache>
                <c:formatCode>#,##0</c:formatCode>
                <c:ptCount val="2"/>
                <c:pt idx="0">
                  <c:v>17931133.331830986</c:v>
                </c:pt>
                <c:pt idx="1">
                  <c:v>64042805.213142537</c:v>
                </c:pt>
              </c:numCache>
            </c:numRef>
          </c:val>
          <c:smooth val="0"/>
        </c:ser>
        <c:dLbls>
          <c:showLegendKey val="0"/>
          <c:showVal val="0"/>
          <c:showCatName val="0"/>
          <c:showSerName val="0"/>
          <c:showPercent val="0"/>
          <c:showBubbleSize val="0"/>
        </c:dLbls>
        <c:smooth val="0"/>
        <c:axId val="231850696"/>
        <c:axId val="225429296"/>
      </c:lineChart>
      <c:catAx>
        <c:axId val="231850696"/>
        <c:scaling>
          <c:orientation val="minMax"/>
        </c:scaling>
        <c:delete val="0"/>
        <c:axPos val="b"/>
        <c:numFmt formatCode="General" sourceLinked="1"/>
        <c:majorTickMark val="out"/>
        <c:minorTickMark val="none"/>
        <c:tickLblPos val="nextTo"/>
        <c:crossAx val="225429296"/>
        <c:crosses val="autoZero"/>
        <c:auto val="1"/>
        <c:lblAlgn val="ctr"/>
        <c:lblOffset val="100"/>
        <c:noMultiLvlLbl val="0"/>
      </c:catAx>
      <c:valAx>
        <c:axId val="225429296"/>
        <c:scaling>
          <c:orientation val="minMax"/>
        </c:scaling>
        <c:delete val="0"/>
        <c:axPos val="l"/>
        <c:majorGridlines/>
        <c:numFmt formatCode="General" sourceLinked="1"/>
        <c:majorTickMark val="out"/>
        <c:minorTickMark val="none"/>
        <c:tickLblPos val="nextTo"/>
        <c:crossAx val="231850696"/>
        <c:crosses val="autoZero"/>
        <c:crossBetween val="midCat"/>
      </c:valAx>
      <c:spPr>
        <a:noFill/>
        <a:ln w="25400">
          <a:noFill/>
        </a:ln>
      </c:spPr>
    </c:plotArea>
    <c:legend>
      <c:legendPos val="b"/>
      <c:layout/>
      <c:overlay val="0"/>
    </c:legend>
    <c:plotVisOnly val="1"/>
    <c:dispBlanksAs val="gap"/>
    <c:showDLblsOverMax val="0"/>
  </c:chart>
  <c:spPr>
    <a:gradFill>
      <a:gsLst>
        <a:gs pos="0">
          <a:srgbClr val="4F81BD">
            <a:tint val="66000"/>
            <a:satMod val="160000"/>
          </a:srgbClr>
        </a:gs>
        <a:gs pos="50000">
          <a:srgbClr val="4F81BD">
            <a:tint val="44500"/>
            <a:satMod val="160000"/>
          </a:srgbClr>
        </a:gs>
        <a:gs pos="100000">
          <a:srgbClr val="4F81BD">
            <a:tint val="23500"/>
            <a:satMod val="160000"/>
          </a:srgbClr>
        </a:gs>
      </a:gsLst>
      <a:lin ang="5400000" scaled="0"/>
    </a:gradFill>
    <a:scene3d>
      <a:camera prst="orthographicFront"/>
      <a:lightRig rig="threePt" dir="t"/>
    </a:scene3d>
    <a:sp3d prstMaterial="matte"/>
  </c:spPr>
  <c:printSettings>
    <c:headerFooter/>
    <c:pageMargins b="0.75000000000000022" l="0.70000000000000018" r="0.70000000000000018" t="0.75000000000000022" header="0.3000000000000001" footer="0.3000000000000001"/>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4</xdr:col>
      <xdr:colOff>0</xdr:colOff>
      <xdr:row>3</xdr:row>
      <xdr:rowOff>0</xdr:rowOff>
    </xdr:from>
    <xdr:to>
      <xdr:col>10</xdr:col>
      <xdr:colOff>0</xdr:colOff>
      <xdr:row>20</xdr:row>
      <xdr:rowOff>95249</xdr:rowOff>
    </xdr:to>
    <xdr:graphicFrame macro="">
      <xdr:nvGraphicFramePr>
        <xdr:cNvPr id="2" name="1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0.51667</cdr:x>
      <cdr:y>0.3</cdr:y>
    </cdr:from>
    <cdr:to>
      <cdr:x>0.67292</cdr:x>
      <cdr:y>0.40857</cdr:y>
    </cdr:to>
    <cdr:sp macro="" textlink="">
      <cdr:nvSpPr>
        <cdr:cNvPr id="3" name="2 Conector recto de flecha"/>
        <cdr:cNvSpPr/>
      </cdr:nvSpPr>
      <cdr:spPr>
        <a:xfrm xmlns:a="http://schemas.openxmlformats.org/drawingml/2006/main" rot="10800000">
          <a:off x="2362201" y="1000125"/>
          <a:ext cx="714375" cy="361951"/>
        </a:xfrm>
        <a:prstGeom xmlns:a="http://schemas.openxmlformats.org/drawingml/2006/main" prst="straightConnector1">
          <a:avLst/>
        </a:prstGeom>
        <a:ln xmlns:a="http://schemas.openxmlformats.org/drawingml/2006/main">
          <a:tailEnd type="arrow"/>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es-ES"/>
        </a:p>
      </cdr:txBody>
    </cdr:sp>
  </cdr:relSizeAnchor>
  <cdr:relSizeAnchor xmlns:cdr="http://schemas.openxmlformats.org/drawingml/2006/chartDrawing">
    <cdr:from>
      <cdr:x>0.32292</cdr:x>
      <cdr:y>0.23714</cdr:y>
    </cdr:from>
    <cdr:to>
      <cdr:x>0.49375</cdr:x>
      <cdr:y>0.35429</cdr:y>
    </cdr:to>
    <cdr:sp macro="" textlink="">
      <cdr:nvSpPr>
        <cdr:cNvPr id="4" name="3 CuadroTexto"/>
        <cdr:cNvSpPr txBox="1"/>
      </cdr:nvSpPr>
      <cdr:spPr>
        <a:xfrm xmlns:a="http://schemas.openxmlformats.org/drawingml/2006/main">
          <a:off x="1476376" y="790575"/>
          <a:ext cx="781050" cy="390525"/>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endParaRPr lang="es-ES" sz="1100"/>
        </a:p>
      </cdr:txBody>
    </cdr:sp>
  </cdr:relSizeAnchor>
  <cdr:relSizeAnchor xmlns:cdr="http://schemas.openxmlformats.org/drawingml/2006/chartDrawing">
    <cdr:from>
      <cdr:x>0.16875</cdr:x>
      <cdr:y>0.22857</cdr:y>
    </cdr:from>
    <cdr:to>
      <cdr:x>0.69792</cdr:x>
      <cdr:y>0.29714</cdr:y>
    </cdr:to>
    <cdr:sp macro="" textlink="">
      <cdr:nvSpPr>
        <cdr:cNvPr id="5" name="4 CuadroTexto"/>
        <cdr:cNvSpPr txBox="1"/>
      </cdr:nvSpPr>
      <cdr:spPr>
        <a:xfrm xmlns:a="http://schemas.openxmlformats.org/drawingml/2006/main">
          <a:off x="771524" y="761999"/>
          <a:ext cx="2419351" cy="228601"/>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s-ES" sz="900"/>
            <a:t>PUNTO DE EQUILIBRIO (78.644; $48.365.926</a:t>
          </a:r>
          <a:r>
            <a:rPr lang="es-ES" sz="1100"/>
            <a:t>) </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ANALISIS%20FINANCIERO%20PARA%20LA%20TOMA%20DE%20DESIONES%20ANGIE%202%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S DE CALCULO"/>
      <sheetName val="M.P MENTENIMEINTO"/>
      <sheetName val="MATERIA PRIMA DIRECTA"/>
      <sheetName val="NOMINA"/>
      <sheetName val="DEPRECIACION"/>
      <sheetName val="RESUMEN DE DE COSTOS Y GASTOS"/>
      <sheetName val="PRODUCCION Y PRESUPUESTO DE VTS"/>
      <sheetName val="G. FINANCIACION"/>
      <sheetName val="PUNTO DE EQUILIBRIO"/>
    </sheetNames>
    <sheetDataSet>
      <sheetData sheetId="0" refreshError="1"/>
      <sheetData sheetId="1" refreshError="1"/>
      <sheetData sheetId="2">
        <row r="31">
          <cell r="F31">
            <v>37308285.285999998</v>
          </cell>
        </row>
        <row r="33">
          <cell r="F33">
            <v>25339080</v>
          </cell>
        </row>
        <row r="34">
          <cell r="F34">
            <v>1037193.75</v>
          </cell>
        </row>
        <row r="35">
          <cell r="F35">
            <v>1075613</v>
          </cell>
        </row>
        <row r="36">
          <cell r="F36">
            <v>4548040</v>
          </cell>
        </row>
        <row r="37">
          <cell r="F37">
            <v>57630</v>
          </cell>
        </row>
        <row r="38">
          <cell r="F38">
            <v>108851</v>
          </cell>
        </row>
        <row r="39">
          <cell r="F39">
            <v>216600</v>
          </cell>
        </row>
        <row r="40">
          <cell r="F40">
            <v>108300</v>
          </cell>
        </row>
      </sheetData>
      <sheetData sheetId="3" refreshError="1"/>
      <sheetData sheetId="4" refreshError="1"/>
      <sheetData sheetId="5">
        <row r="6">
          <cell r="B6">
            <v>10111029.962879999</v>
          </cell>
        </row>
      </sheetData>
      <sheetData sheetId="6" refreshError="1"/>
      <sheetData sheetId="7" refreshError="1"/>
      <sheetData sheetId="8"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33"/>
  <sheetViews>
    <sheetView workbookViewId="0">
      <selection activeCell="D18" sqref="C18:D18"/>
    </sheetView>
  </sheetViews>
  <sheetFormatPr baseColWidth="10" defaultRowHeight="15" x14ac:dyDescent="0.25"/>
  <cols>
    <col min="1" max="1" width="41" bestFit="1" customWidth="1"/>
    <col min="4" max="4" width="24" customWidth="1"/>
    <col min="5" max="5" width="21.42578125" customWidth="1"/>
  </cols>
  <sheetData>
    <row r="1" spans="1:7" x14ac:dyDescent="0.25">
      <c r="A1" t="s">
        <v>0</v>
      </c>
    </row>
    <row r="2" spans="1:7" ht="15.75" thickBot="1" x14ac:dyDescent="0.3"/>
    <row r="3" spans="1:7" ht="15.75" thickBot="1" x14ac:dyDescent="0.3">
      <c r="A3" s="254" t="s">
        <v>1</v>
      </c>
      <c r="B3" s="255"/>
      <c r="C3" s="255"/>
      <c r="D3" s="255"/>
      <c r="E3" s="255"/>
      <c r="F3" s="255"/>
      <c r="G3" s="256"/>
    </row>
    <row r="4" spans="1:7" s="1" customFormat="1" x14ac:dyDescent="0.25">
      <c r="A4" s="20"/>
      <c r="B4" s="20" t="s">
        <v>2</v>
      </c>
      <c r="C4" s="20" t="s">
        <v>3</v>
      </c>
      <c r="D4" s="20" t="s">
        <v>4</v>
      </c>
      <c r="E4" s="20" t="s">
        <v>5</v>
      </c>
      <c r="F4" s="20" t="s">
        <v>6</v>
      </c>
      <c r="G4" s="20"/>
    </row>
    <row r="5" spans="1:7" x14ac:dyDescent="0.25">
      <c r="A5" s="2" t="s">
        <v>7</v>
      </c>
      <c r="B5" s="27"/>
      <c r="C5" s="21">
        <v>0.1245</v>
      </c>
      <c r="D5" s="21">
        <v>0.1084</v>
      </c>
      <c r="E5" s="21">
        <v>7.6100000000000001E-2</v>
      </c>
      <c r="F5" s="22">
        <v>0.06</v>
      </c>
      <c r="G5" s="27"/>
    </row>
    <row r="6" spans="1:7" ht="15.75" thickBot="1" x14ac:dyDescent="0.3"/>
    <row r="7" spans="1:7" x14ac:dyDescent="0.25">
      <c r="A7" s="257" t="s">
        <v>8</v>
      </c>
      <c r="B7" s="258"/>
      <c r="D7" s="261" t="s">
        <v>32</v>
      </c>
      <c r="E7" s="261"/>
      <c r="F7" s="261"/>
      <c r="G7" s="27">
        <f>6/1000</f>
        <v>6.0000000000000001E-3</v>
      </c>
    </row>
    <row r="8" spans="1:7" x14ac:dyDescent="0.25">
      <c r="A8" s="6" t="s">
        <v>9</v>
      </c>
      <c r="B8" s="7"/>
    </row>
    <row r="9" spans="1:7" x14ac:dyDescent="0.25">
      <c r="A9" s="6" t="s">
        <v>11</v>
      </c>
      <c r="B9" s="23">
        <v>8.3299999999999999E-2</v>
      </c>
      <c r="D9" s="261" t="s">
        <v>33</v>
      </c>
      <c r="E9" s="261"/>
      <c r="F9" s="261"/>
      <c r="G9" s="27">
        <v>0.33</v>
      </c>
    </row>
    <row r="10" spans="1:7" x14ac:dyDescent="0.25">
      <c r="A10" s="6" t="s">
        <v>12</v>
      </c>
      <c r="B10" s="23">
        <v>8.3299999999999999E-2</v>
      </c>
    </row>
    <row r="11" spans="1:7" x14ac:dyDescent="0.25">
      <c r="A11" s="6" t="s">
        <v>13</v>
      </c>
      <c r="B11" s="23">
        <v>4.1700000000000001E-2</v>
      </c>
      <c r="D11" s="261" t="s">
        <v>34</v>
      </c>
      <c r="E11" s="261"/>
      <c r="F11" s="27">
        <v>5</v>
      </c>
      <c r="G11" s="15" t="s">
        <v>35</v>
      </c>
    </row>
    <row r="12" spans="1:7" ht="15.75" thickBot="1" x14ac:dyDescent="0.3">
      <c r="A12" s="6" t="s">
        <v>14</v>
      </c>
      <c r="B12" s="24">
        <v>0.01</v>
      </c>
    </row>
    <row r="13" spans="1:7" ht="15.75" thickBot="1" x14ac:dyDescent="0.3">
      <c r="A13" s="12" t="s">
        <v>10</v>
      </c>
      <c r="B13" s="11">
        <f>SUM(B9:B12)</f>
        <v>0.21829999999999999</v>
      </c>
      <c r="D13" s="261" t="s">
        <v>36</v>
      </c>
      <c r="E13" s="261"/>
      <c r="F13" s="261"/>
    </row>
    <row r="14" spans="1:7" x14ac:dyDescent="0.25">
      <c r="A14" s="6" t="s">
        <v>15</v>
      </c>
      <c r="B14" s="13"/>
      <c r="C14" s="26"/>
      <c r="D14" s="253" t="s">
        <v>37</v>
      </c>
      <c r="E14" s="253"/>
      <c r="F14" s="28">
        <v>0</v>
      </c>
    </row>
    <row r="15" spans="1:7" x14ac:dyDescent="0.25">
      <c r="A15" s="6" t="s">
        <v>16</v>
      </c>
      <c r="B15" s="25">
        <v>0.02</v>
      </c>
      <c r="D15" s="253" t="s">
        <v>38</v>
      </c>
      <c r="E15" s="253"/>
      <c r="F15" s="27">
        <v>5</v>
      </c>
      <c r="G15" s="15" t="s">
        <v>35</v>
      </c>
    </row>
    <row r="16" spans="1:7" x14ac:dyDescent="0.25">
      <c r="A16" s="6" t="s">
        <v>17</v>
      </c>
      <c r="B16" s="25">
        <v>0.04</v>
      </c>
      <c r="D16" s="253" t="s">
        <v>39</v>
      </c>
      <c r="E16" s="253"/>
      <c r="F16" s="29">
        <v>0.06</v>
      </c>
    </row>
    <row r="17" spans="1:7" ht="15.75" thickBot="1" x14ac:dyDescent="0.3">
      <c r="A17" s="6" t="s">
        <v>18</v>
      </c>
      <c r="B17" s="24">
        <v>0.03</v>
      </c>
    </row>
    <row r="18" spans="1:7" ht="15.75" thickBot="1" x14ac:dyDescent="0.3">
      <c r="A18" s="12" t="s">
        <v>19</v>
      </c>
      <c r="B18" s="14">
        <f>SUM(B15:B17)</f>
        <v>0.09</v>
      </c>
    </row>
    <row r="19" spans="1:7" x14ac:dyDescent="0.25">
      <c r="A19" s="6" t="s">
        <v>20</v>
      </c>
      <c r="B19" s="13"/>
      <c r="G19" s="4"/>
    </row>
    <row r="20" spans="1:7" x14ac:dyDescent="0.25">
      <c r="A20" s="6" t="s">
        <v>21</v>
      </c>
      <c r="B20" s="23">
        <v>0.1013</v>
      </c>
    </row>
    <row r="21" spans="1:7" x14ac:dyDescent="0.25">
      <c r="A21" s="6" t="s">
        <v>22</v>
      </c>
      <c r="B21" s="25">
        <v>0.09</v>
      </c>
    </row>
    <row r="22" spans="1:7" x14ac:dyDescent="0.25">
      <c r="A22" s="6" t="s">
        <v>23</v>
      </c>
      <c r="B22" s="25">
        <v>0.01</v>
      </c>
    </row>
    <row r="23" spans="1:7" ht="15.75" thickBot="1" x14ac:dyDescent="0.3">
      <c r="A23" s="8" t="s">
        <v>24</v>
      </c>
      <c r="B23" s="10">
        <f>SUM(B20:B22)</f>
        <v>0.20130000000000001</v>
      </c>
    </row>
    <row r="24" spans="1:7" ht="15.75" thickBot="1" x14ac:dyDescent="0.3">
      <c r="A24" s="9" t="s">
        <v>25</v>
      </c>
      <c r="B24" s="11">
        <f>+B13+B18+B23</f>
        <v>0.50960000000000005</v>
      </c>
    </row>
    <row r="27" spans="1:7" ht="15.75" thickBot="1" x14ac:dyDescent="0.3"/>
    <row r="28" spans="1:7" ht="15.75" thickBot="1" x14ac:dyDescent="0.3">
      <c r="A28" s="259" t="s">
        <v>26</v>
      </c>
      <c r="B28" s="260"/>
    </row>
    <row r="29" spans="1:7" x14ac:dyDescent="0.25">
      <c r="A29" s="18" t="s">
        <v>27</v>
      </c>
      <c r="B29" s="13"/>
    </row>
    <row r="30" spans="1:7" x14ac:dyDescent="0.25">
      <c r="A30" s="6" t="s">
        <v>28</v>
      </c>
      <c r="B30" s="7"/>
    </row>
    <row r="31" spans="1:7" x14ac:dyDescent="0.25">
      <c r="A31" s="6" t="s">
        <v>29</v>
      </c>
      <c r="B31" s="7"/>
    </row>
    <row r="32" spans="1:7" x14ac:dyDescent="0.25">
      <c r="A32" s="6" t="s">
        <v>30</v>
      </c>
      <c r="B32" s="7"/>
    </row>
    <row r="33" spans="1:2" ht="15.75" thickBot="1" x14ac:dyDescent="0.3">
      <c r="A33" s="16" t="s">
        <v>31</v>
      </c>
      <c r="B33" s="17"/>
    </row>
  </sheetData>
  <sheetProtection password="CC02" sheet="1" objects="1" scenarios="1"/>
  <mergeCells count="10">
    <mergeCell ref="D16:E16"/>
    <mergeCell ref="A3:G3"/>
    <mergeCell ref="A7:B7"/>
    <mergeCell ref="A28:B28"/>
    <mergeCell ref="D7:F7"/>
    <mergeCell ref="D9:F9"/>
    <mergeCell ref="D11:E11"/>
    <mergeCell ref="D13:F13"/>
    <mergeCell ref="D14:E14"/>
    <mergeCell ref="D15:E15"/>
  </mergeCells>
  <pageMargins left="0.7" right="0.7" top="0.75" bottom="0.75" header="0.3" footer="0.3"/>
  <pageSetup paperSize="9" orientation="portrait" horizontalDpi="200" verticalDpi="200"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tabSelected="1" workbookViewId="0">
      <pane xSplit="1" ySplit="3" topLeftCell="B4" activePane="bottomRight" state="frozen"/>
      <selection pane="topRight" activeCell="B1" sqref="B1"/>
      <selection pane="bottomLeft" activeCell="A4" sqref="A4"/>
      <selection pane="bottomRight" activeCell="G31" sqref="G31"/>
    </sheetView>
  </sheetViews>
  <sheetFormatPr baseColWidth="10" defaultRowHeight="34.5" customHeight="1" x14ac:dyDescent="0.25"/>
  <cols>
    <col min="1" max="1" width="44.85546875" customWidth="1"/>
    <col min="8" max="8" width="12.85546875" customWidth="1"/>
    <col min="257" max="257" width="31.5703125" customWidth="1"/>
    <col min="264" max="264" width="12.85546875" customWidth="1"/>
    <col min="513" max="513" width="31.5703125" customWidth="1"/>
    <col min="520" max="520" width="12.85546875" customWidth="1"/>
    <col min="769" max="769" width="31.5703125" customWidth="1"/>
    <col min="776" max="776" width="12.85546875" customWidth="1"/>
    <col min="1025" max="1025" width="31.5703125" customWidth="1"/>
    <col min="1032" max="1032" width="12.85546875" customWidth="1"/>
    <col min="1281" max="1281" width="31.5703125" customWidth="1"/>
    <col min="1288" max="1288" width="12.85546875" customWidth="1"/>
    <col min="1537" max="1537" width="31.5703125" customWidth="1"/>
    <col min="1544" max="1544" width="12.85546875" customWidth="1"/>
    <col min="1793" max="1793" width="31.5703125" customWidth="1"/>
    <col min="1800" max="1800" width="12.85546875" customWidth="1"/>
    <col min="2049" max="2049" width="31.5703125" customWidth="1"/>
    <col min="2056" max="2056" width="12.85546875" customWidth="1"/>
    <col min="2305" max="2305" width="31.5703125" customWidth="1"/>
    <col min="2312" max="2312" width="12.85546875" customWidth="1"/>
    <col min="2561" max="2561" width="31.5703125" customWidth="1"/>
    <col min="2568" max="2568" width="12.85546875" customWidth="1"/>
    <col min="2817" max="2817" width="31.5703125" customWidth="1"/>
    <col min="2824" max="2824" width="12.85546875" customWidth="1"/>
    <col min="3073" max="3073" width="31.5703125" customWidth="1"/>
    <col min="3080" max="3080" width="12.85546875" customWidth="1"/>
    <col min="3329" max="3329" width="31.5703125" customWidth="1"/>
    <col min="3336" max="3336" width="12.85546875" customWidth="1"/>
    <col min="3585" max="3585" width="31.5703125" customWidth="1"/>
    <col min="3592" max="3592" width="12.85546875" customWidth="1"/>
    <col min="3841" max="3841" width="31.5703125" customWidth="1"/>
    <col min="3848" max="3848" width="12.85546875" customWidth="1"/>
    <col min="4097" max="4097" width="31.5703125" customWidth="1"/>
    <col min="4104" max="4104" width="12.85546875" customWidth="1"/>
    <col min="4353" max="4353" width="31.5703125" customWidth="1"/>
    <col min="4360" max="4360" width="12.85546875" customWidth="1"/>
    <col min="4609" max="4609" width="31.5703125" customWidth="1"/>
    <col min="4616" max="4616" width="12.85546875" customWidth="1"/>
    <col min="4865" max="4865" width="31.5703125" customWidth="1"/>
    <col min="4872" max="4872" width="12.85546875" customWidth="1"/>
    <col min="5121" max="5121" width="31.5703125" customWidth="1"/>
    <col min="5128" max="5128" width="12.85546875" customWidth="1"/>
    <col min="5377" max="5377" width="31.5703125" customWidth="1"/>
    <col min="5384" max="5384" width="12.85546875" customWidth="1"/>
    <col min="5633" max="5633" width="31.5703125" customWidth="1"/>
    <col min="5640" max="5640" width="12.85546875" customWidth="1"/>
    <col min="5889" max="5889" width="31.5703125" customWidth="1"/>
    <col min="5896" max="5896" width="12.85546875" customWidth="1"/>
    <col min="6145" max="6145" width="31.5703125" customWidth="1"/>
    <col min="6152" max="6152" width="12.85546875" customWidth="1"/>
    <col min="6401" max="6401" width="31.5703125" customWidth="1"/>
    <col min="6408" max="6408" width="12.85546875" customWidth="1"/>
    <col min="6657" max="6657" width="31.5703125" customWidth="1"/>
    <col min="6664" max="6664" width="12.85546875" customWidth="1"/>
    <col min="6913" max="6913" width="31.5703125" customWidth="1"/>
    <col min="6920" max="6920" width="12.85546875" customWidth="1"/>
    <col min="7169" max="7169" width="31.5703125" customWidth="1"/>
    <col min="7176" max="7176" width="12.85546875" customWidth="1"/>
    <col min="7425" max="7425" width="31.5703125" customWidth="1"/>
    <col min="7432" max="7432" width="12.85546875" customWidth="1"/>
    <col min="7681" max="7681" width="31.5703125" customWidth="1"/>
    <col min="7688" max="7688" width="12.85546875" customWidth="1"/>
    <col min="7937" max="7937" width="31.5703125" customWidth="1"/>
    <col min="7944" max="7944" width="12.85546875" customWidth="1"/>
    <col min="8193" max="8193" width="31.5703125" customWidth="1"/>
    <col min="8200" max="8200" width="12.85546875" customWidth="1"/>
    <col min="8449" max="8449" width="31.5703125" customWidth="1"/>
    <col min="8456" max="8456" width="12.85546875" customWidth="1"/>
    <col min="8705" max="8705" width="31.5703125" customWidth="1"/>
    <col min="8712" max="8712" width="12.85546875" customWidth="1"/>
    <col min="8961" max="8961" width="31.5703125" customWidth="1"/>
    <col min="8968" max="8968" width="12.85546875" customWidth="1"/>
    <col min="9217" max="9217" width="31.5703125" customWidth="1"/>
    <col min="9224" max="9224" width="12.85546875" customWidth="1"/>
    <col min="9473" max="9473" width="31.5703125" customWidth="1"/>
    <col min="9480" max="9480" width="12.85546875" customWidth="1"/>
    <col min="9729" max="9729" width="31.5703125" customWidth="1"/>
    <col min="9736" max="9736" width="12.85546875" customWidth="1"/>
    <col min="9985" max="9985" width="31.5703125" customWidth="1"/>
    <col min="9992" max="9992" width="12.85546875" customWidth="1"/>
    <col min="10241" max="10241" width="31.5703125" customWidth="1"/>
    <col min="10248" max="10248" width="12.85546875" customWidth="1"/>
    <col min="10497" max="10497" width="31.5703125" customWidth="1"/>
    <col min="10504" max="10504" width="12.85546875" customWidth="1"/>
    <col min="10753" max="10753" width="31.5703125" customWidth="1"/>
    <col min="10760" max="10760" width="12.85546875" customWidth="1"/>
    <col min="11009" max="11009" width="31.5703125" customWidth="1"/>
    <col min="11016" max="11016" width="12.85546875" customWidth="1"/>
    <col min="11265" max="11265" width="31.5703125" customWidth="1"/>
    <col min="11272" max="11272" width="12.85546875" customWidth="1"/>
    <col min="11521" max="11521" width="31.5703125" customWidth="1"/>
    <col min="11528" max="11528" width="12.85546875" customWidth="1"/>
    <col min="11777" max="11777" width="31.5703125" customWidth="1"/>
    <col min="11784" max="11784" width="12.85546875" customWidth="1"/>
    <col min="12033" max="12033" width="31.5703125" customWidth="1"/>
    <col min="12040" max="12040" width="12.85546875" customWidth="1"/>
    <col min="12289" max="12289" width="31.5703125" customWidth="1"/>
    <col min="12296" max="12296" width="12.85546875" customWidth="1"/>
    <col min="12545" max="12545" width="31.5703125" customWidth="1"/>
    <col min="12552" max="12552" width="12.85546875" customWidth="1"/>
    <col min="12801" max="12801" width="31.5703125" customWidth="1"/>
    <col min="12808" max="12808" width="12.85546875" customWidth="1"/>
    <col min="13057" max="13057" width="31.5703125" customWidth="1"/>
    <col min="13064" max="13064" width="12.85546875" customWidth="1"/>
    <col min="13313" max="13313" width="31.5703125" customWidth="1"/>
    <col min="13320" max="13320" width="12.85546875" customWidth="1"/>
    <col min="13569" max="13569" width="31.5703125" customWidth="1"/>
    <col min="13576" max="13576" width="12.85546875" customWidth="1"/>
    <col min="13825" max="13825" width="31.5703125" customWidth="1"/>
    <col min="13832" max="13832" width="12.85546875" customWidth="1"/>
    <col min="14081" max="14081" width="31.5703125" customWidth="1"/>
    <col min="14088" max="14088" width="12.85546875" customWidth="1"/>
    <col min="14337" max="14337" width="31.5703125" customWidth="1"/>
    <col min="14344" max="14344" width="12.85546875" customWidth="1"/>
    <col min="14593" max="14593" width="31.5703125" customWidth="1"/>
    <col min="14600" max="14600" width="12.85546875" customWidth="1"/>
    <col min="14849" max="14849" width="31.5703125" customWidth="1"/>
    <col min="14856" max="14856" width="12.85546875" customWidth="1"/>
    <col min="15105" max="15105" width="31.5703125" customWidth="1"/>
    <col min="15112" max="15112" width="12.85546875" customWidth="1"/>
    <col min="15361" max="15361" width="31.5703125" customWidth="1"/>
    <col min="15368" max="15368" width="12.85546875" customWidth="1"/>
    <col min="15617" max="15617" width="31.5703125" customWidth="1"/>
    <col min="15624" max="15624" width="12.85546875" customWidth="1"/>
    <col min="15873" max="15873" width="31.5703125" customWidth="1"/>
    <col min="15880" max="15880" width="12.85546875" customWidth="1"/>
    <col min="16129" max="16129" width="31.5703125" customWidth="1"/>
    <col min="16136" max="16136" width="12.85546875" customWidth="1"/>
  </cols>
  <sheetData>
    <row r="1" spans="1:11" ht="34.5" customHeight="1" x14ac:dyDescent="0.35">
      <c r="A1" s="322" t="s">
        <v>403</v>
      </c>
      <c r="B1" s="322"/>
      <c r="C1" s="322"/>
      <c r="D1" s="322"/>
      <c r="E1" s="322"/>
      <c r="F1" s="322"/>
      <c r="G1" s="322"/>
      <c r="H1" s="322"/>
      <c r="I1" s="322"/>
      <c r="J1" s="322"/>
      <c r="K1" s="322"/>
    </row>
    <row r="2" spans="1:11" ht="34.5" customHeight="1" x14ac:dyDescent="0.25">
      <c r="A2" s="323" t="s">
        <v>178</v>
      </c>
      <c r="B2" s="324" t="s">
        <v>404</v>
      </c>
      <c r="C2" s="325"/>
      <c r="D2" s="324" t="s">
        <v>405</v>
      </c>
      <c r="E2" s="325"/>
      <c r="F2" s="326" t="s">
        <v>406</v>
      </c>
      <c r="G2" s="327"/>
      <c r="H2" s="324" t="s">
        <v>407</v>
      </c>
      <c r="I2" s="325"/>
      <c r="J2" s="324" t="s">
        <v>408</v>
      </c>
      <c r="K2" s="325"/>
    </row>
    <row r="3" spans="1:11" ht="34.5" customHeight="1" x14ac:dyDescent="0.25">
      <c r="A3" s="323"/>
      <c r="B3" s="394" t="s">
        <v>370</v>
      </c>
      <c r="C3" s="394" t="s">
        <v>371</v>
      </c>
      <c r="D3" s="394" t="s">
        <v>370</v>
      </c>
      <c r="E3" s="394" t="s">
        <v>371</v>
      </c>
      <c r="F3" s="394" t="s">
        <v>370</v>
      </c>
      <c r="G3" s="394" t="s">
        <v>371</v>
      </c>
      <c r="H3" s="394" t="s">
        <v>370</v>
      </c>
      <c r="I3" s="394" t="s">
        <v>371</v>
      </c>
      <c r="J3" s="394" t="s">
        <v>409</v>
      </c>
      <c r="K3" s="394" t="s">
        <v>371</v>
      </c>
    </row>
    <row r="4" spans="1:11" ht="20.100000000000001" customHeight="1" x14ac:dyDescent="0.25">
      <c r="A4" s="328" t="s">
        <v>379</v>
      </c>
      <c r="B4" s="329"/>
      <c r="C4" s="330"/>
      <c r="D4" s="329">
        <f>'Hoja 9'!B32</f>
        <v>149110920</v>
      </c>
      <c r="E4" s="329">
        <f>'Hoja 9'!C32</f>
        <v>149110920</v>
      </c>
      <c r="F4" s="329">
        <f>B4+D4-C4-E4</f>
        <v>0</v>
      </c>
      <c r="G4" s="329"/>
      <c r="H4" s="330"/>
      <c r="I4" s="330"/>
      <c r="J4" s="329">
        <f>F4</f>
        <v>0</v>
      </c>
      <c r="K4" s="330"/>
    </row>
    <row r="5" spans="1:11" ht="20.100000000000001" customHeight="1" x14ac:dyDescent="0.25">
      <c r="A5" s="328" t="s">
        <v>343</v>
      </c>
      <c r="B5" s="329">
        <f>Hoja8!B20</f>
        <v>13469911.790720001</v>
      </c>
      <c r="C5" s="330"/>
      <c r="D5" s="329">
        <f>'Hoja 9'!B33</f>
        <v>149110920</v>
      </c>
      <c r="E5" s="329">
        <f>'Hoja 9'!C33</f>
        <v>133596726.5899193</v>
      </c>
      <c r="F5" s="329">
        <f>B5+D5-C5-E5</f>
        <v>28984105.200800687</v>
      </c>
      <c r="G5" s="329"/>
      <c r="H5" s="330"/>
      <c r="I5" s="330"/>
      <c r="J5" s="329">
        <f>F5</f>
        <v>28984105.200800687</v>
      </c>
      <c r="K5" s="330"/>
    </row>
    <row r="6" spans="1:11" ht="20.100000000000001" customHeight="1" x14ac:dyDescent="0.25">
      <c r="A6" s="328" t="s">
        <v>344</v>
      </c>
      <c r="B6" s="329">
        <f>Hoja8!B21</f>
        <v>11633265.505999999</v>
      </c>
      <c r="C6" s="330"/>
      <c r="D6" s="329"/>
      <c r="E6" s="329"/>
      <c r="F6" s="329">
        <f>B6+D6-C6-E6</f>
        <v>11633265.505999999</v>
      </c>
      <c r="G6" s="329"/>
      <c r="H6" s="329"/>
      <c r="I6" s="329">
        <f>F6</f>
        <v>11633265.505999999</v>
      </c>
      <c r="J6" s="329">
        <v>0</v>
      </c>
      <c r="K6" s="330"/>
    </row>
    <row r="7" spans="1:11" ht="20.100000000000001" customHeight="1" x14ac:dyDescent="0.25">
      <c r="A7" s="328" t="s">
        <v>410</v>
      </c>
      <c r="B7" s="329">
        <f>Hoja8!B24</f>
        <v>10876622</v>
      </c>
      <c r="C7" s="330"/>
      <c r="D7" s="330"/>
      <c r="E7" s="330"/>
      <c r="F7" s="329">
        <f>B7+D7-C7-E7</f>
        <v>10876622</v>
      </c>
      <c r="G7" s="329"/>
      <c r="H7" s="330"/>
      <c r="I7" s="330"/>
      <c r="J7" s="329">
        <f>F7</f>
        <v>10876622</v>
      </c>
      <c r="K7" s="329"/>
    </row>
    <row r="8" spans="1:11" ht="20.100000000000001" customHeight="1" x14ac:dyDescent="0.25">
      <c r="A8" s="331" t="s">
        <v>411</v>
      </c>
      <c r="B8" s="330"/>
      <c r="C8" s="330"/>
      <c r="D8" s="330"/>
      <c r="E8" s="329">
        <f>'Hoja 9'!C40</f>
        <v>1514412.2</v>
      </c>
      <c r="F8" s="329"/>
      <c r="G8" s="329">
        <f>E8</f>
        <v>1514412.2</v>
      </c>
      <c r="H8" s="329"/>
      <c r="I8" s="330"/>
      <c r="J8" s="330"/>
      <c r="K8" s="329">
        <f>G8</f>
        <v>1514412.2</v>
      </c>
    </row>
    <row r="9" spans="1:11" ht="20.100000000000001" customHeight="1" x14ac:dyDescent="0.25">
      <c r="A9" s="328" t="s">
        <v>412</v>
      </c>
      <c r="B9" s="329">
        <f>Hoja8!B26</f>
        <v>9422400</v>
      </c>
      <c r="C9" s="330"/>
      <c r="D9" s="330"/>
      <c r="E9" s="329"/>
      <c r="F9" s="329">
        <f>B9</f>
        <v>9422400</v>
      </c>
      <c r="G9" s="329"/>
      <c r="H9" s="330"/>
      <c r="I9" s="330"/>
      <c r="J9" s="329">
        <f>F9</f>
        <v>9422400</v>
      </c>
      <c r="K9" s="330"/>
    </row>
    <row r="10" spans="1:11" ht="20.100000000000001" customHeight="1" x14ac:dyDescent="0.25">
      <c r="A10" s="331" t="s">
        <v>190</v>
      </c>
      <c r="B10" s="330"/>
      <c r="C10" s="330"/>
      <c r="D10" s="330"/>
      <c r="E10" s="329">
        <f>'Hoja 9'!C41</f>
        <v>1884480</v>
      </c>
      <c r="F10" s="329"/>
      <c r="G10" s="329">
        <f>E10</f>
        <v>1884480</v>
      </c>
      <c r="H10" s="330"/>
      <c r="I10" s="329"/>
      <c r="J10" s="330"/>
      <c r="K10" s="329">
        <f>G10</f>
        <v>1884480</v>
      </c>
    </row>
    <row r="11" spans="1:11" ht="20.100000000000001" customHeight="1" x14ac:dyDescent="0.25">
      <c r="A11" s="328" t="s">
        <v>413</v>
      </c>
      <c r="B11" s="330"/>
      <c r="C11" s="329">
        <f>Hoja8!B30</f>
        <v>12000000</v>
      </c>
      <c r="D11" s="329">
        <f>'Hoja 9'!B37</f>
        <v>1581183.9510392919</v>
      </c>
      <c r="E11" s="330"/>
      <c r="F11" s="329"/>
      <c r="G11" s="329">
        <f>C11-D11</f>
        <v>10418816.048960708</v>
      </c>
      <c r="H11" s="330"/>
      <c r="I11" s="330"/>
      <c r="J11" s="329"/>
      <c r="K11" s="329">
        <f>G11</f>
        <v>10418816.048960708</v>
      </c>
    </row>
    <row r="12" spans="1:11" ht="23.25" customHeight="1" x14ac:dyDescent="0.25">
      <c r="A12" s="332" t="s">
        <v>414</v>
      </c>
      <c r="B12" s="330"/>
      <c r="C12" s="330"/>
      <c r="D12" s="329">
        <f>'Hoja 9'!B38</f>
        <v>2520000</v>
      </c>
      <c r="E12" s="330"/>
      <c r="F12" s="329">
        <f>D12</f>
        <v>2520000</v>
      </c>
      <c r="G12" s="329"/>
      <c r="H12" s="330"/>
      <c r="I12" s="329">
        <f>F12</f>
        <v>2520000</v>
      </c>
      <c r="J12" s="330"/>
      <c r="K12" s="330"/>
    </row>
    <row r="13" spans="1:11" ht="20.100000000000001" customHeight="1" x14ac:dyDescent="0.25">
      <c r="A13" s="331" t="s">
        <v>274</v>
      </c>
      <c r="B13" s="330"/>
      <c r="C13" s="330"/>
      <c r="D13" s="330"/>
      <c r="E13" s="329">
        <f>'Hoja 9'!C39</f>
        <v>149110920</v>
      </c>
      <c r="F13" s="329"/>
      <c r="G13" s="329">
        <f>E13</f>
        <v>149110920</v>
      </c>
      <c r="H13" s="329">
        <f>G13</f>
        <v>149110920</v>
      </c>
      <c r="I13" s="330"/>
      <c r="J13" s="330"/>
      <c r="K13" s="330"/>
    </row>
    <row r="14" spans="1:11" ht="20.100000000000001" customHeight="1" x14ac:dyDescent="0.25">
      <c r="A14" s="331" t="s">
        <v>415</v>
      </c>
      <c r="B14" s="330"/>
      <c r="C14" s="330"/>
      <c r="D14" s="329">
        <f>'Hoja 9'!B34</f>
        <v>86288432.038880005</v>
      </c>
      <c r="E14" s="330"/>
      <c r="F14" s="329">
        <f>D14</f>
        <v>86288432.038880005</v>
      </c>
      <c r="G14" s="329"/>
      <c r="H14" s="330"/>
      <c r="I14" s="329">
        <f>F14</f>
        <v>86288432.038880005</v>
      </c>
      <c r="J14" s="330"/>
      <c r="K14" s="330"/>
    </row>
    <row r="15" spans="1:11" ht="20.100000000000001" customHeight="1" x14ac:dyDescent="0.25">
      <c r="A15" s="331" t="s">
        <v>396</v>
      </c>
      <c r="B15" s="330"/>
      <c r="C15" s="330"/>
      <c r="D15" s="329">
        <f>'Hoja 9'!B35</f>
        <v>23276461</v>
      </c>
      <c r="E15" s="330"/>
      <c r="F15" s="329">
        <f>D15</f>
        <v>23276461</v>
      </c>
      <c r="G15" s="329"/>
      <c r="H15" s="330"/>
      <c r="I15" s="329">
        <f>F15</f>
        <v>23276461</v>
      </c>
      <c r="J15" s="330"/>
      <c r="K15" s="330"/>
    </row>
    <row r="16" spans="1:11" ht="20.100000000000001" customHeight="1" x14ac:dyDescent="0.25">
      <c r="A16" s="331" t="s">
        <v>387</v>
      </c>
      <c r="B16" s="330"/>
      <c r="C16" s="330"/>
      <c r="D16" s="329">
        <f>'Hoja 9'!B36</f>
        <v>23329541.800000001</v>
      </c>
      <c r="E16" s="330"/>
      <c r="F16" s="329">
        <f>D16</f>
        <v>23329541.800000001</v>
      </c>
      <c r="G16" s="329"/>
      <c r="H16" s="330"/>
      <c r="I16" s="329">
        <f>F16</f>
        <v>23329541.800000001</v>
      </c>
      <c r="J16" s="330"/>
      <c r="K16" s="330"/>
    </row>
    <row r="17" spans="1:11" ht="20.100000000000001" customHeight="1" x14ac:dyDescent="0.25">
      <c r="A17" s="328" t="s">
        <v>416</v>
      </c>
      <c r="B17" s="330"/>
      <c r="C17" s="329">
        <f>Hoja8!B33</f>
        <v>33402199.296719998</v>
      </c>
      <c r="D17" s="330"/>
      <c r="E17" s="329"/>
      <c r="F17" s="329"/>
      <c r="G17" s="329">
        <f>C17</f>
        <v>33402199.296719998</v>
      </c>
      <c r="H17" s="330"/>
      <c r="I17" s="330"/>
      <c r="J17" s="330"/>
      <c r="K17" s="329">
        <f>G17</f>
        <v>33402199.296719998</v>
      </c>
    </row>
    <row r="18" spans="1:11" ht="20.100000000000001" customHeight="1" x14ac:dyDescent="0.25">
      <c r="A18" s="328" t="s">
        <v>417</v>
      </c>
      <c r="B18" s="330"/>
      <c r="C18" s="330"/>
      <c r="D18" s="330"/>
      <c r="E18" s="330"/>
      <c r="F18" s="329"/>
      <c r="G18" s="329"/>
      <c r="H18" s="330"/>
      <c r="I18" s="329">
        <f>H30</f>
        <v>136172.49723791904</v>
      </c>
      <c r="J18" s="330"/>
      <c r="K18" s="329">
        <f>I18</f>
        <v>136172.49723791904</v>
      </c>
    </row>
    <row r="19" spans="1:11" ht="20.100000000000001" customHeight="1" x14ac:dyDescent="0.25">
      <c r="A19" s="328" t="s">
        <v>418</v>
      </c>
      <c r="B19" s="330"/>
      <c r="C19" s="330"/>
      <c r="D19" s="330"/>
      <c r="E19" s="330"/>
      <c r="F19" s="329"/>
      <c r="G19" s="329"/>
      <c r="H19" s="330"/>
      <c r="I19" s="330"/>
      <c r="J19" s="330"/>
      <c r="K19" s="330"/>
    </row>
    <row r="20" spans="1:11" ht="20.100000000000001" customHeight="1" x14ac:dyDescent="0.25">
      <c r="A20" s="328" t="s">
        <v>419</v>
      </c>
      <c r="B20" s="330"/>
      <c r="C20" s="330"/>
      <c r="D20" s="330"/>
      <c r="E20" s="330"/>
      <c r="F20" s="329"/>
      <c r="G20" s="329"/>
      <c r="H20" s="333"/>
      <c r="I20" s="329">
        <f>H31</f>
        <v>1225552.4751412713</v>
      </c>
      <c r="J20" s="334"/>
      <c r="K20" s="329">
        <f>I20</f>
        <v>1225552.4751412713</v>
      </c>
    </row>
    <row r="21" spans="1:11" ht="20.100000000000001" customHeight="1" x14ac:dyDescent="0.25">
      <c r="A21" s="328" t="s">
        <v>420</v>
      </c>
      <c r="B21" s="330"/>
      <c r="C21" s="330"/>
      <c r="D21" s="330"/>
      <c r="E21" s="330"/>
      <c r="F21" s="329"/>
      <c r="G21" s="329"/>
      <c r="H21" s="333"/>
      <c r="I21" s="329"/>
      <c r="J21" s="334"/>
      <c r="K21" s="329"/>
    </row>
    <row r="22" spans="1:11" ht="20.100000000000001" customHeight="1" x14ac:dyDescent="0.25">
      <c r="A22" s="328" t="s">
        <v>421</v>
      </c>
      <c r="B22" s="330"/>
      <c r="C22" s="330"/>
      <c r="D22" s="330"/>
      <c r="E22" s="330"/>
      <c r="F22" s="329"/>
      <c r="G22" s="329"/>
      <c r="H22" s="330"/>
      <c r="I22" s="329">
        <f>H28</f>
        <v>701494.68274079508</v>
      </c>
      <c r="J22" s="330"/>
      <c r="K22" s="329">
        <f>I22</f>
        <v>701494.68274079508</v>
      </c>
    </row>
    <row r="23" spans="1:11" ht="20.100000000000001" customHeight="1" x14ac:dyDescent="0.25">
      <c r="A23" s="328"/>
      <c r="B23" s="330"/>
      <c r="C23" s="330"/>
      <c r="D23" s="330"/>
      <c r="E23" s="330"/>
      <c r="F23" s="330"/>
      <c r="G23" s="330"/>
      <c r="H23" s="330"/>
      <c r="I23" s="330"/>
      <c r="J23" s="330"/>
      <c r="K23" s="330"/>
    </row>
    <row r="24" spans="1:11" ht="20.100000000000001" customHeight="1" x14ac:dyDescent="0.25">
      <c r="A24" s="328"/>
      <c r="B24" s="330"/>
      <c r="C24" s="330"/>
      <c r="D24" s="330"/>
      <c r="E24" s="330"/>
      <c r="F24" s="330"/>
      <c r="G24" s="330"/>
      <c r="H24" s="330"/>
      <c r="I24" s="330"/>
      <c r="J24" s="330"/>
      <c r="K24" s="330"/>
    </row>
    <row r="25" spans="1:11" ht="20.100000000000001" customHeight="1" x14ac:dyDescent="0.25">
      <c r="A25" s="328" t="s">
        <v>385</v>
      </c>
      <c r="B25" s="329">
        <f t="shared" ref="B25:K25" si="0">SUM(B4:B24)</f>
        <v>45402199.296719998</v>
      </c>
      <c r="C25" s="329">
        <f t="shared" si="0"/>
        <v>45402199.296719998</v>
      </c>
      <c r="D25" s="329">
        <f t="shared" si="0"/>
        <v>435217458.78991932</v>
      </c>
      <c r="E25" s="329">
        <f t="shared" si="0"/>
        <v>435217458.78991932</v>
      </c>
      <c r="F25" s="329">
        <f t="shared" si="0"/>
        <v>196330827.5456807</v>
      </c>
      <c r="G25" s="329">
        <f t="shared" si="0"/>
        <v>196330827.5456807</v>
      </c>
      <c r="H25" s="329">
        <f t="shared" si="0"/>
        <v>149110920</v>
      </c>
      <c r="I25" s="329">
        <f t="shared" si="0"/>
        <v>149110920</v>
      </c>
      <c r="J25" s="329">
        <f t="shared" si="0"/>
        <v>49283127.200800687</v>
      </c>
      <c r="K25" s="329">
        <f t="shared" si="0"/>
        <v>49283127.200800687</v>
      </c>
    </row>
    <row r="26" spans="1:11" ht="20.100000000000001" customHeight="1" x14ac:dyDescent="0.25">
      <c r="A26" s="335"/>
      <c r="B26" s="335"/>
      <c r="C26" s="335"/>
      <c r="D26" s="335"/>
      <c r="E26" s="335"/>
      <c r="F26" s="335"/>
      <c r="G26" s="335"/>
      <c r="H26" s="335"/>
      <c r="I26" s="335"/>
      <c r="J26" s="335"/>
      <c r="K26" s="335"/>
    </row>
    <row r="27" spans="1:11" ht="20.100000000000001" customHeight="1" x14ac:dyDescent="0.25">
      <c r="A27" s="335"/>
      <c r="B27" s="335"/>
      <c r="C27" s="335"/>
      <c r="D27" s="335"/>
      <c r="E27" s="335" t="s">
        <v>419</v>
      </c>
      <c r="F27" s="335"/>
      <c r="G27" s="336"/>
      <c r="H27" s="336">
        <f>H13-(I6+I12+I14+I15+I16)</f>
        <v>2063219.6551199853</v>
      </c>
      <c r="I27" s="335"/>
      <c r="J27" s="335"/>
      <c r="K27" s="335"/>
    </row>
    <row r="28" spans="1:11" ht="20.100000000000001" customHeight="1" x14ac:dyDescent="0.25">
      <c r="A28" s="335"/>
      <c r="B28" s="335"/>
      <c r="C28" s="335"/>
      <c r="D28" s="335"/>
      <c r="E28" s="337" t="s">
        <v>422</v>
      </c>
      <c r="F28" s="335"/>
      <c r="G28" s="338"/>
      <c r="H28" s="339">
        <f>H27*0.34</f>
        <v>701494.68274079508</v>
      </c>
      <c r="I28" s="335"/>
      <c r="J28" s="335"/>
      <c r="K28" s="335"/>
    </row>
    <row r="29" spans="1:11" ht="20.100000000000001" customHeight="1" x14ac:dyDescent="0.25">
      <c r="A29" s="335"/>
      <c r="B29" s="335"/>
      <c r="C29" s="335"/>
      <c r="D29" s="335"/>
      <c r="E29" s="335" t="s">
        <v>423</v>
      </c>
      <c r="F29" s="335"/>
      <c r="G29" s="338"/>
      <c r="H29" s="336">
        <f>H27-H28</f>
        <v>1361724.9723791904</v>
      </c>
      <c r="I29" s="335"/>
      <c r="J29" s="335"/>
      <c r="K29" s="335"/>
    </row>
    <row r="30" spans="1:11" ht="20.100000000000001" customHeight="1" x14ac:dyDescent="0.25">
      <c r="A30" s="335"/>
      <c r="B30" s="335"/>
      <c r="C30" s="335"/>
      <c r="D30" s="335"/>
      <c r="E30" s="335" t="s">
        <v>424</v>
      </c>
      <c r="F30" s="335"/>
      <c r="G30" s="338"/>
      <c r="H30" s="339">
        <f>H29*0.1</f>
        <v>136172.49723791904</v>
      </c>
      <c r="I30" s="335"/>
      <c r="J30" s="335"/>
      <c r="K30" s="335"/>
    </row>
    <row r="31" spans="1:11" ht="20.100000000000001" customHeight="1" thickBot="1" x14ac:dyDescent="0.3">
      <c r="A31" s="335"/>
      <c r="B31" s="335"/>
      <c r="C31" s="335"/>
      <c r="D31" s="335"/>
      <c r="E31" s="335" t="s">
        <v>425</v>
      </c>
      <c r="F31" s="335"/>
      <c r="G31" s="338"/>
      <c r="H31" s="340">
        <f>H29-H30</f>
        <v>1225552.4751412713</v>
      </c>
      <c r="I31" s="335"/>
      <c r="J31" s="335"/>
      <c r="K31" s="335"/>
    </row>
    <row r="32" spans="1:11" ht="34.5" customHeight="1" thickTop="1" x14ac:dyDescent="0.25">
      <c r="A32" s="335"/>
      <c r="B32" s="335"/>
      <c r="C32" s="335"/>
      <c r="D32" s="335"/>
      <c r="E32" s="335"/>
      <c r="F32" s="335"/>
      <c r="G32" s="335"/>
      <c r="H32" s="335"/>
      <c r="I32" s="335"/>
      <c r="J32" s="335"/>
      <c r="K32" s="335"/>
    </row>
  </sheetData>
  <mergeCells count="6">
    <mergeCell ref="A1:K1"/>
    <mergeCell ref="B2:C2"/>
    <mergeCell ref="D2:E2"/>
    <mergeCell ref="F2:G2"/>
    <mergeCell ref="H2:I2"/>
    <mergeCell ref="J2:K2"/>
  </mergeCells>
  <pageMargins left="0.7" right="0.7" top="0.75" bottom="0.75" header="0.3" footer="0.3"/>
  <ignoredErrors>
    <ignoredError sqref="H30" 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6"/>
  <sheetViews>
    <sheetView workbookViewId="0">
      <selection sqref="A1:XFD1048576"/>
    </sheetView>
  </sheetViews>
  <sheetFormatPr baseColWidth="10" defaultRowHeight="15" x14ac:dyDescent="0.25"/>
  <cols>
    <col min="1" max="1" width="40.7109375" customWidth="1"/>
    <col min="2" max="2" width="10.140625" bestFit="1" customWidth="1"/>
    <col min="3" max="3" width="3.28515625" customWidth="1"/>
    <col min="4" max="4" width="10.140625" bestFit="1" customWidth="1"/>
    <col min="5" max="5" width="3.28515625" customWidth="1"/>
    <col min="6" max="6" width="10.140625" bestFit="1" customWidth="1"/>
    <col min="7" max="7" width="3.5703125" customWidth="1"/>
    <col min="8" max="8" width="10.140625" bestFit="1" customWidth="1"/>
    <col min="9" max="9" width="3.28515625" customWidth="1"/>
    <col min="10" max="10" width="11.140625" bestFit="1" customWidth="1"/>
    <col min="257" max="257" width="40.7109375" customWidth="1"/>
    <col min="258" max="258" width="10.140625" bestFit="1" customWidth="1"/>
    <col min="259" max="259" width="3.28515625" customWidth="1"/>
    <col min="260" max="260" width="10.140625" bestFit="1" customWidth="1"/>
    <col min="261" max="261" width="3.28515625" customWidth="1"/>
    <col min="262" max="262" width="10.140625" bestFit="1" customWidth="1"/>
    <col min="263" max="263" width="3.5703125" customWidth="1"/>
    <col min="264" max="264" width="10.140625" bestFit="1" customWidth="1"/>
    <col min="265" max="265" width="3.28515625" customWidth="1"/>
    <col min="266" max="266" width="11.140625" bestFit="1" customWidth="1"/>
    <col min="513" max="513" width="40.7109375" customWidth="1"/>
    <col min="514" max="514" width="10.140625" bestFit="1" customWidth="1"/>
    <col min="515" max="515" width="3.28515625" customWidth="1"/>
    <col min="516" max="516" width="10.140625" bestFit="1" customWidth="1"/>
    <col min="517" max="517" width="3.28515625" customWidth="1"/>
    <col min="518" max="518" width="10.140625" bestFit="1" customWidth="1"/>
    <col min="519" max="519" width="3.5703125" customWidth="1"/>
    <col min="520" max="520" width="10.140625" bestFit="1" customWidth="1"/>
    <col min="521" max="521" width="3.28515625" customWidth="1"/>
    <col min="522" max="522" width="11.140625" bestFit="1" customWidth="1"/>
    <col min="769" max="769" width="40.7109375" customWidth="1"/>
    <col min="770" max="770" width="10.140625" bestFit="1" customWidth="1"/>
    <col min="771" max="771" width="3.28515625" customWidth="1"/>
    <col min="772" max="772" width="10.140625" bestFit="1" customWidth="1"/>
    <col min="773" max="773" width="3.28515625" customWidth="1"/>
    <col min="774" max="774" width="10.140625" bestFit="1" customWidth="1"/>
    <col min="775" max="775" width="3.5703125" customWidth="1"/>
    <col min="776" max="776" width="10.140625" bestFit="1" customWidth="1"/>
    <col min="777" max="777" width="3.28515625" customWidth="1"/>
    <col min="778" max="778" width="11.140625" bestFit="1" customWidth="1"/>
    <col min="1025" max="1025" width="40.7109375" customWidth="1"/>
    <col min="1026" max="1026" width="10.140625" bestFit="1" customWidth="1"/>
    <col min="1027" max="1027" width="3.28515625" customWidth="1"/>
    <col min="1028" max="1028" width="10.140625" bestFit="1" customWidth="1"/>
    <col min="1029" max="1029" width="3.28515625" customWidth="1"/>
    <col min="1030" max="1030" width="10.140625" bestFit="1" customWidth="1"/>
    <col min="1031" max="1031" width="3.5703125" customWidth="1"/>
    <col min="1032" max="1032" width="10.140625" bestFit="1" customWidth="1"/>
    <col min="1033" max="1033" width="3.28515625" customWidth="1"/>
    <col min="1034" max="1034" width="11.140625" bestFit="1" customWidth="1"/>
    <col min="1281" max="1281" width="40.7109375" customWidth="1"/>
    <col min="1282" max="1282" width="10.140625" bestFit="1" customWidth="1"/>
    <col min="1283" max="1283" width="3.28515625" customWidth="1"/>
    <col min="1284" max="1284" width="10.140625" bestFit="1" customWidth="1"/>
    <col min="1285" max="1285" width="3.28515625" customWidth="1"/>
    <col min="1286" max="1286" width="10.140625" bestFit="1" customWidth="1"/>
    <col min="1287" max="1287" width="3.5703125" customWidth="1"/>
    <col min="1288" max="1288" width="10.140625" bestFit="1" customWidth="1"/>
    <col min="1289" max="1289" width="3.28515625" customWidth="1"/>
    <col min="1290" max="1290" width="11.140625" bestFit="1" customWidth="1"/>
    <col min="1537" max="1537" width="40.7109375" customWidth="1"/>
    <col min="1538" max="1538" width="10.140625" bestFit="1" customWidth="1"/>
    <col min="1539" max="1539" width="3.28515625" customWidth="1"/>
    <col min="1540" max="1540" width="10.140625" bestFit="1" customWidth="1"/>
    <col min="1541" max="1541" width="3.28515625" customWidth="1"/>
    <col min="1542" max="1542" width="10.140625" bestFit="1" customWidth="1"/>
    <col min="1543" max="1543" width="3.5703125" customWidth="1"/>
    <col min="1544" max="1544" width="10.140625" bestFit="1" customWidth="1"/>
    <col min="1545" max="1545" width="3.28515625" customWidth="1"/>
    <col min="1546" max="1546" width="11.140625" bestFit="1" customWidth="1"/>
    <col min="1793" max="1793" width="40.7109375" customWidth="1"/>
    <col min="1794" max="1794" width="10.140625" bestFit="1" customWidth="1"/>
    <col min="1795" max="1795" width="3.28515625" customWidth="1"/>
    <col min="1796" max="1796" width="10.140625" bestFit="1" customWidth="1"/>
    <col min="1797" max="1797" width="3.28515625" customWidth="1"/>
    <col min="1798" max="1798" width="10.140625" bestFit="1" customWidth="1"/>
    <col min="1799" max="1799" width="3.5703125" customWidth="1"/>
    <col min="1800" max="1800" width="10.140625" bestFit="1" customWidth="1"/>
    <col min="1801" max="1801" width="3.28515625" customWidth="1"/>
    <col min="1802" max="1802" width="11.140625" bestFit="1" customWidth="1"/>
    <col min="2049" max="2049" width="40.7109375" customWidth="1"/>
    <col min="2050" max="2050" width="10.140625" bestFit="1" customWidth="1"/>
    <col min="2051" max="2051" width="3.28515625" customWidth="1"/>
    <col min="2052" max="2052" width="10.140625" bestFit="1" customWidth="1"/>
    <col min="2053" max="2053" width="3.28515625" customWidth="1"/>
    <col min="2054" max="2054" width="10.140625" bestFit="1" customWidth="1"/>
    <col min="2055" max="2055" width="3.5703125" customWidth="1"/>
    <col min="2056" max="2056" width="10.140625" bestFit="1" customWidth="1"/>
    <col min="2057" max="2057" width="3.28515625" customWidth="1"/>
    <col min="2058" max="2058" width="11.140625" bestFit="1" customWidth="1"/>
    <col min="2305" max="2305" width="40.7109375" customWidth="1"/>
    <col min="2306" max="2306" width="10.140625" bestFit="1" customWidth="1"/>
    <col min="2307" max="2307" width="3.28515625" customWidth="1"/>
    <col min="2308" max="2308" width="10.140625" bestFit="1" customWidth="1"/>
    <col min="2309" max="2309" width="3.28515625" customWidth="1"/>
    <col min="2310" max="2310" width="10.140625" bestFit="1" customWidth="1"/>
    <col min="2311" max="2311" width="3.5703125" customWidth="1"/>
    <col min="2312" max="2312" width="10.140625" bestFit="1" customWidth="1"/>
    <col min="2313" max="2313" width="3.28515625" customWidth="1"/>
    <col min="2314" max="2314" width="11.140625" bestFit="1" customWidth="1"/>
    <col min="2561" max="2561" width="40.7109375" customWidth="1"/>
    <col min="2562" max="2562" width="10.140625" bestFit="1" customWidth="1"/>
    <col min="2563" max="2563" width="3.28515625" customWidth="1"/>
    <col min="2564" max="2564" width="10.140625" bestFit="1" customWidth="1"/>
    <col min="2565" max="2565" width="3.28515625" customWidth="1"/>
    <col min="2566" max="2566" width="10.140625" bestFit="1" customWidth="1"/>
    <col min="2567" max="2567" width="3.5703125" customWidth="1"/>
    <col min="2568" max="2568" width="10.140625" bestFit="1" customWidth="1"/>
    <col min="2569" max="2569" width="3.28515625" customWidth="1"/>
    <col min="2570" max="2570" width="11.140625" bestFit="1" customWidth="1"/>
    <col min="2817" max="2817" width="40.7109375" customWidth="1"/>
    <col min="2818" max="2818" width="10.140625" bestFit="1" customWidth="1"/>
    <col min="2819" max="2819" width="3.28515625" customWidth="1"/>
    <col min="2820" max="2820" width="10.140625" bestFit="1" customWidth="1"/>
    <col min="2821" max="2821" width="3.28515625" customWidth="1"/>
    <col min="2822" max="2822" width="10.140625" bestFit="1" customWidth="1"/>
    <col min="2823" max="2823" width="3.5703125" customWidth="1"/>
    <col min="2824" max="2824" width="10.140625" bestFit="1" customWidth="1"/>
    <col min="2825" max="2825" width="3.28515625" customWidth="1"/>
    <col min="2826" max="2826" width="11.140625" bestFit="1" customWidth="1"/>
    <col min="3073" max="3073" width="40.7109375" customWidth="1"/>
    <col min="3074" max="3074" width="10.140625" bestFit="1" customWidth="1"/>
    <col min="3075" max="3075" width="3.28515625" customWidth="1"/>
    <col min="3076" max="3076" width="10.140625" bestFit="1" customWidth="1"/>
    <col min="3077" max="3077" width="3.28515625" customWidth="1"/>
    <col min="3078" max="3078" width="10.140625" bestFit="1" customWidth="1"/>
    <col min="3079" max="3079" width="3.5703125" customWidth="1"/>
    <col min="3080" max="3080" width="10.140625" bestFit="1" customWidth="1"/>
    <col min="3081" max="3081" width="3.28515625" customWidth="1"/>
    <col min="3082" max="3082" width="11.140625" bestFit="1" customWidth="1"/>
    <col min="3329" max="3329" width="40.7109375" customWidth="1"/>
    <col min="3330" max="3330" width="10.140625" bestFit="1" customWidth="1"/>
    <col min="3331" max="3331" width="3.28515625" customWidth="1"/>
    <col min="3332" max="3332" width="10.140625" bestFit="1" customWidth="1"/>
    <col min="3333" max="3333" width="3.28515625" customWidth="1"/>
    <col min="3334" max="3334" width="10.140625" bestFit="1" customWidth="1"/>
    <col min="3335" max="3335" width="3.5703125" customWidth="1"/>
    <col min="3336" max="3336" width="10.140625" bestFit="1" customWidth="1"/>
    <col min="3337" max="3337" width="3.28515625" customWidth="1"/>
    <col min="3338" max="3338" width="11.140625" bestFit="1" customWidth="1"/>
    <col min="3585" max="3585" width="40.7109375" customWidth="1"/>
    <col min="3586" max="3586" width="10.140625" bestFit="1" customWidth="1"/>
    <col min="3587" max="3587" width="3.28515625" customWidth="1"/>
    <col min="3588" max="3588" width="10.140625" bestFit="1" customWidth="1"/>
    <col min="3589" max="3589" width="3.28515625" customWidth="1"/>
    <col min="3590" max="3590" width="10.140625" bestFit="1" customWidth="1"/>
    <col min="3591" max="3591" width="3.5703125" customWidth="1"/>
    <col min="3592" max="3592" width="10.140625" bestFit="1" customWidth="1"/>
    <col min="3593" max="3593" width="3.28515625" customWidth="1"/>
    <col min="3594" max="3594" width="11.140625" bestFit="1" customWidth="1"/>
    <col min="3841" max="3841" width="40.7109375" customWidth="1"/>
    <col min="3842" max="3842" width="10.140625" bestFit="1" customWidth="1"/>
    <col min="3843" max="3843" width="3.28515625" customWidth="1"/>
    <col min="3844" max="3844" width="10.140625" bestFit="1" customWidth="1"/>
    <col min="3845" max="3845" width="3.28515625" customWidth="1"/>
    <col min="3846" max="3846" width="10.140625" bestFit="1" customWidth="1"/>
    <col min="3847" max="3847" width="3.5703125" customWidth="1"/>
    <col min="3848" max="3848" width="10.140625" bestFit="1" customWidth="1"/>
    <col min="3849" max="3849" width="3.28515625" customWidth="1"/>
    <col min="3850" max="3850" width="11.140625" bestFit="1" customWidth="1"/>
    <col min="4097" max="4097" width="40.7109375" customWidth="1"/>
    <col min="4098" max="4098" width="10.140625" bestFit="1" customWidth="1"/>
    <col min="4099" max="4099" width="3.28515625" customWidth="1"/>
    <col min="4100" max="4100" width="10.140625" bestFit="1" customWidth="1"/>
    <col min="4101" max="4101" width="3.28515625" customWidth="1"/>
    <col min="4102" max="4102" width="10.140625" bestFit="1" customWidth="1"/>
    <col min="4103" max="4103" width="3.5703125" customWidth="1"/>
    <col min="4104" max="4104" width="10.140625" bestFit="1" customWidth="1"/>
    <col min="4105" max="4105" width="3.28515625" customWidth="1"/>
    <col min="4106" max="4106" width="11.140625" bestFit="1" customWidth="1"/>
    <col min="4353" max="4353" width="40.7109375" customWidth="1"/>
    <col min="4354" max="4354" width="10.140625" bestFit="1" customWidth="1"/>
    <col min="4355" max="4355" width="3.28515625" customWidth="1"/>
    <col min="4356" max="4356" width="10.140625" bestFit="1" customWidth="1"/>
    <col min="4357" max="4357" width="3.28515625" customWidth="1"/>
    <col min="4358" max="4358" width="10.140625" bestFit="1" customWidth="1"/>
    <col min="4359" max="4359" width="3.5703125" customWidth="1"/>
    <col min="4360" max="4360" width="10.140625" bestFit="1" customWidth="1"/>
    <col min="4361" max="4361" width="3.28515625" customWidth="1"/>
    <col min="4362" max="4362" width="11.140625" bestFit="1" customWidth="1"/>
    <col min="4609" max="4609" width="40.7109375" customWidth="1"/>
    <col min="4610" max="4610" width="10.140625" bestFit="1" customWidth="1"/>
    <col min="4611" max="4611" width="3.28515625" customWidth="1"/>
    <col min="4612" max="4612" width="10.140625" bestFit="1" customWidth="1"/>
    <col min="4613" max="4613" width="3.28515625" customWidth="1"/>
    <col min="4614" max="4614" width="10.140625" bestFit="1" customWidth="1"/>
    <col min="4615" max="4615" width="3.5703125" customWidth="1"/>
    <col min="4616" max="4616" width="10.140625" bestFit="1" customWidth="1"/>
    <col min="4617" max="4617" width="3.28515625" customWidth="1"/>
    <col min="4618" max="4618" width="11.140625" bestFit="1" customWidth="1"/>
    <col min="4865" max="4865" width="40.7109375" customWidth="1"/>
    <col min="4866" max="4866" width="10.140625" bestFit="1" customWidth="1"/>
    <col min="4867" max="4867" width="3.28515625" customWidth="1"/>
    <col min="4868" max="4868" width="10.140625" bestFit="1" customWidth="1"/>
    <col min="4869" max="4869" width="3.28515625" customWidth="1"/>
    <col min="4870" max="4870" width="10.140625" bestFit="1" customWidth="1"/>
    <col min="4871" max="4871" width="3.5703125" customWidth="1"/>
    <col min="4872" max="4872" width="10.140625" bestFit="1" customWidth="1"/>
    <col min="4873" max="4873" width="3.28515625" customWidth="1"/>
    <col min="4874" max="4874" width="11.140625" bestFit="1" customWidth="1"/>
    <col min="5121" max="5121" width="40.7109375" customWidth="1"/>
    <col min="5122" max="5122" width="10.140625" bestFit="1" customWidth="1"/>
    <col min="5123" max="5123" width="3.28515625" customWidth="1"/>
    <col min="5124" max="5124" width="10.140625" bestFit="1" customWidth="1"/>
    <col min="5125" max="5125" width="3.28515625" customWidth="1"/>
    <col min="5126" max="5126" width="10.140625" bestFit="1" customWidth="1"/>
    <col min="5127" max="5127" width="3.5703125" customWidth="1"/>
    <col min="5128" max="5128" width="10.140625" bestFit="1" customWidth="1"/>
    <col min="5129" max="5129" width="3.28515625" customWidth="1"/>
    <col min="5130" max="5130" width="11.140625" bestFit="1" customWidth="1"/>
    <col min="5377" max="5377" width="40.7109375" customWidth="1"/>
    <col min="5378" max="5378" width="10.140625" bestFit="1" customWidth="1"/>
    <col min="5379" max="5379" width="3.28515625" customWidth="1"/>
    <col min="5380" max="5380" width="10.140625" bestFit="1" customWidth="1"/>
    <col min="5381" max="5381" width="3.28515625" customWidth="1"/>
    <col min="5382" max="5382" width="10.140625" bestFit="1" customWidth="1"/>
    <col min="5383" max="5383" width="3.5703125" customWidth="1"/>
    <col min="5384" max="5384" width="10.140625" bestFit="1" customWidth="1"/>
    <col min="5385" max="5385" width="3.28515625" customWidth="1"/>
    <col min="5386" max="5386" width="11.140625" bestFit="1" customWidth="1"/>
    <col min="5633" max="5633" width="40.7109375" customWidth="1"/>
    <col min="5634" max="5634" width="10.140625" bestFit="1" customWidth="1"/>
    <col min="5635" max="5635" width="3.28515625" customWidth="1"/>
    <col min="5636" max="5636" width="10.140625" bestFit="1" customWidth="1"/>
    <col min="5637" max="5637" width="3.28515625" customWidth="1"/>
    <col min="5638" max="5638" width="10.140625" bestFit="1" customWidth="1"/>
    <col min="5639" max="5639" width="3.5703125" customWidth="1"/>
    <col min="5640" max="5640" width="10.140625" bestFit="1" customWidth="1"/>
    <col min="5641" max="5641" width="3.28515625" customWidth="1"/>
    <col min="5642" max="5642" width="11.140625" bestFit="1" customWidth="1"/>
    <col min="5889" max="5889" width="40.7109375" customWidth="1"/>
    <col min="5890" max="5890" width="10.140625" bestFit="1" customWidth="1"/>
    <col min="5891" max="5891" width="3.28515625" customWidth="1"/>
    <col min="5892" max="5892" width="10.140625" bestFit="1" customWidth="1"/>
    <col min="5893" max="5893" width="3.28515625" customWidth="1"/>
    <col min="5894" max="5894" width="10.140625" bestFit="1" customWidth="1"/>
    <col min="5895" max="5895" width="3.5703125" customWidth="1"/>
    <col min="5896" max="5896" width="10.140625" bestFit="1" customWidth="1"/>
    <col min="5897" max="5897" width="3.28515625" customWidth="1"/>
    <col min="5898" max="5898" width="11.140625" bestFit="1" customWidth="1"/>
    <col min="6145" max="6145" width="40.7109375" customWidth="1"/>
    <col min="6146" max="6146" width="10.140625" bestFit="1" customWidth="1"/>
    <col min="6147" max="6147" width="3.28515625" customWidth="1"/>
    <col min="6148" max="6148" width="10.140625" bestFit="1" customWidth="1"/>
    <col min="6149" max="6149" width="3.28515625" customWidth="1"/>
    <col min="6150" max="6150" width="10.140625" bestFit="1" customWidth="1"/>
    <col min="6151" max="6151" width="3.5703125" customWidth="1"/>
    <col min="6152" max="6152" width="10.140625" bestFit="1" customWidth="1"/>
    <col min="6153" max="6153" width="3.28515625" customWidth="1"/>
    <col min="6154" max="6154" width="11.140625" bestFit="1" customWidth="1"/>
    <col min="6401" max="6401" width="40.7109375" customWidth="1"/>
    <col min="6402" max="6402" width="10.140625" bestFit="1" customWidth="1"/>
    <col min="6403" max="6403" width="3.28515625" customWidth="1"/>
    <col min="6404" max="6404" width="10.140625" bestFit="1" customWidth="1"/>
    <col min="6405" max="6405" width="3.28515625" customWidth="1"/>
    <col min="6406" max="6406" width="10.140625" bestFit="1" customWidth="1"/>
    <col min="6407" max="6407" width="3.5703125" customWidth="1"/>
    <col min="6408" max="6408" width="10.140625" bestFit="1" customWidth="1"/>
    <col min="6409" max="6409" width="3.28515625" customWidth="1"/>
    <col min="6410" max="6410" width="11.140625" bestFit="1" customWidth="1"/>
    <col min="6657" max="6657" width="40.7109375" customWidth="1"/>
    <col min="6658" max="6658" width="10.140625" bestFit="1" customWidth="1"/>
    <col min="6659" max="6659" width="3.28515625" customWidth="1"/>
    <col min="6660" max="6660" width="10.140625" bestFit="1" customWidth="1"/>
    <col min="6661" max="6661" width="3.28515625" customWidth="1"/>
    <col min="6662" max="6662" width="10.140625" bestFit="1" customWidth="1"/>
    <col min="6663" max="6663" width="3.5703125" customWidth="1"/>
    <col min="6664" max="6664" width="10.140625" bestFit="1" customWidth="1"/>
    <col min="6665" max="6665" width="3.28515625" customWidth="1"/>
    <col min="6666" max="6666" width="11.140625" bestFit="1" customWidth="1"/>
    <col min="6913" max="6913" width="40.7109375" customWidth="1"/>
    <col min="6914" max="6914" width="10.140625" bestFit="1" customWidth="1"/>
    <col min="6915" max="6915" width="3.28515625" customWidth="1"/>
    <col min="6916" max="6916" width="10.140625" bestFit="1" customWidth="1"/>
    <col min="6917" max="6917" width="3.28515625" customWidth="1"/>
    <col min="6918" max="6918" width="10.140625" bestFit="1" customWidth="1"/>
    <col min="6919" max="6919" width="3.5703125" customWidth="1"/>
    <col min="6920" max="6920" width="10.140625" bestFit="1" customWidth="1"/>
    <col min="6921" max="6921" width="3.28515625" customWidth="1"/>
    <col min="6922" max="6922" width="11.140625" bestFit="1" customWidth="1"/>
    <col min="7169" max="7169" width="40.7109375" customWidth="1"/>
    <col min="7170" max="7170" width="10.140625" bestFit="1" customWidth="1"/>
    <col min="7171" max="7171" width="3.28515625" customWidth="1"/>
    <col min="7172" max="7172" width="10.140625" bestFit="1" customWidth="1"/>
    <col min="7173" max="7173" width="3.28515625" customWidth="1"/>
    <col min="7174" max="7174" width="10.140625" bestFit="1" customWidth="1"/>
    <col min="7175" max="7175" width="3.5703125" customWidth="1"/>
    <col min="7176" max="7176" width="10.140625" bestFit="1" customWidth="1"/>
    <col min="7177" max="7177" width="3.28515625" customWidth="1"/>
    <col min="7178" max="7178" width="11.140625" bestFit="1" customWidth="1"/>
    <col min="7425" max="7425" width="40.7109375" customWidth="1"/>
    <col min="7426" max="7426" width="10.140625" bestFit="1" customWidth="1"/>
    <col min="7427" max="7427" width="3.28515625" customWidth="1"/>
    <col min="7428" max="7428" width="10.140625" bestFit="1" customWidth="1"/>
    <col min="7429" max="7429" width="3.28515625" customWidth="1"/>
    <col min="7430" max="7430" width="10.140625" bestFit="1" customWidth="1"/>
    <col min="7431" max="7431" width="3.5703125" customWidth="1"/>
    <col min="7432" max="7432" width="10.140625" bestFit="1" customWidth="1"/>
    <col min="7433" max="7433" width="3.28515625" customWidth="1"/>
    <col min="7434" max="7434" width="11.140625" bestFit="1" customWidth="1"/>
    <col min="7681" max="7681" width="40.7109375" customWidth="1"/>
    <col min="7682" max="7682" width="10.140625" bestFit="1" customWidth="1"/>
    <col min="7683" max="7683" width="3.28515625" customWidth="1"/>
    <col min="7684" max="7684" width="10.140625" bestFit="1" customWidth="1"/>
    <col min="7685" max="7685" width="3.28515625" customWidth="1"/>
    <col min="7686" max="7686" width="10.140625" bestFit="1" customWidth="1"/>
    <col min="7687" max="7687" width="3.5703125" customWidth="1"/>
    <col min="7688" max="7688" width="10.140625" bestFit="1" customWidth="1"/>
    <col min="7689" max="7689" width="3.28515625" customWidth="1"/>
    <col min="7690" max="7690" width="11.140625" bestFit="1" customWidth="1"/>
    <col min="7937" max="7937" width="40.7109375" customWidth="1"/>
    <col min="7938" max="7938" width="10.140625" bestFit="1" customWidth="1"/>
    <col min="7939" max="7939" width="3.28515625" customWidth="1"/>
    <col min="7940" max="7940" width="10.140625" bestFit="1" customWidth="1"/>
    <col min="7941" max="7941" width="3.28515625" customWidth="1"/>
    <col min="7942" max="7942" width="10.140625" bestFit="1" customWidth="1"/>
    <col min="7943" max="7943" width="3.5703125" customWidth="1"/>
    <col min="7944" max="7944" width="10.140625" bestFit="1" customWidth="1"/>
    <col min="7945" max="7945" width="3.28515625" customWidth="1"/>
    <col min="7946" max="7946" width="11.140625" bestFit="1" customWidth="1"/>
    <col min="8193" max="8193" width="40.7109375" customWidth="1"/>
    <col min="8194" max="8194" width="10.140625" bestFit="1" customWidth="1"/>
    <col min="8195" max="8195" width="3.28515625" customWidth="1"/>
    <col min="8196" max="8196" width="10.140625" bestFit="1" customWidth="1"/>
    <col min="8197" max="8197" width="3.28515625" customWidth="1"/>
    <col min="8198" max="8198" width="10.140625" bestFit="1" customWidth="1"/>
    <col min="8199" max="8199" width="3.5703125" customWidth="1"/>
    <col min="8200" max="8200" width="10.140625" bestFit="1" customWidth="1"/>
    <col min="8201" max="8201" width="3.28515625" customWidth="1"/>
    <col min="8202" max="8202" width="11.140625" bestFit="1" customWidth="1"/>
    <col min="8449" max="8449" width="40.7109375" customWidth="1"/>
    <col min="8450" max="8450" width="10.140625" bestFit="1" customWidth="1"/>
    <col min="8451" max="8451" width="3.28515625" customWidth="1"/>
    <col min="8452" max="8452" width="10.140625" bestFit="1" customWidth="1"/>
    <col min="8453" max="8453" width="3.28515625" customWidth="1"/>
    <col min="8454" max="8454" width="10.140625" bestFit="1" customWidth="1"/>
    <col min="8455" max="8455" width="3.5703125" customWidth="1"/>
    <col min="8456" max="8456" width="10.140625" bestFit="1" customWidth="1"/>
    <col min="8457" max="8457" width="3.28515625" customWidth="1"/>
    <col min="8458" max="8458" width="11.140625" bestFit="1" customWidth="1"/>
    <col min="8705" max="8705" width="40.7109375" customWidth="1"/>
    <col min="8706" max="8706" width="10.140625" bestFit="1" customWidth="1"/>
    <col min="8707" max="8707" width="3.28515625" customWidth="1"/>
    <col min="8708" max="8708" width="10.140625" bestFit="1" customWidth="1"/>
    <col min="8709" max="8709" width="3.28515625" customWidth="1"/>
    <col min="8710" max="8710" width="10.140625" bestFit="1" customWidth="1"/>
    <col min="8711" max="8711" width="3.5703125" customWidth="1"/>
    <col min="8712" max="8712" width="10.140625" bestFit="1" customWidth="1"/>
    <col min="8713" max="8713" width="3.28515625" customWidth="1"/>
    <col min="8714" max="8714" width="11.140625" bestFit="1" customWidth="1"/>
    <col min="8961" max="8961" width="40.7109375" customWidth="1"/>
    <col min="8962" max="8962" width="10.140625" bestFit="1" customWidth="1"/>
    <col min="8963" max="8963" width="3.28515625" customWidth="1"/>
    <col min="8964" max="8964" width="10.140625" bestFit="1" customWidth="1"/>
    <col min="8965" max="8965" width="3.28515625" customWidth="1"/>
    <col min="8966" max="8966" width="10.140625" bestFit="1" customWidth="1"/>
    <col min="8967" max="8967" width="3.5703125" customWidth="1"/>
    <col min="8968" max="8968" width="10.140625" bestFit="1" customWidth="1"/>
    <col min="8969" max="8969" width="3.28515625" customWidth="1"/>
    <col min="8970" max="8970" width="11.140625" bestFit="1" customWidth="1"/>
    <col min="9217" max="9217" width="40.7109375" customWidth="1"/>
    <col min="9218" max="9218" width="10.140625" bestFit="1" customWidth="1"/>
    <col min="9219" max="9219" width="3.28515625" customWidth="1"/>
    <col min="9220" max="9220" width="10.140625" bestFit="1" customWidth="1"/>
    <col min="9221" max="9221" width="3.28515625" customWidth="1"/>
    <col min="9222" max="9222" width="10.140625" bestFit="1" customWidth="1"/>
    <col min="9223" max="9223" width="3.5703125" customWidth="1"/>
    <col min="9224" max="9224" width="10.140625" bestFit="1" customWidth="1"/>
    <col min="9225" max="9225" width="3.28515625" customWidth="1"/>
    <col min="9226" max="9226" width="11.140625" bestFit="1" customWidth="1"/>
    <col min="9473" max="9473" width="40.7109375" customWidth="1"/>
    <col min="9474" max="9474" width="10.140625" bestFit="1" customWidth="1"/>
    <col min="9475" max="9475" width="3.28515625" customWidth="1"/>
    <col min="9476" max="9476" width="10.140625" bestFit="1" customWidth="1"/>
    <col min="9477" max="9477" width="3.28515625" customWidth="1"/>
    <col min="9478" max="9478" width="10.140625" bestFit="1" customWidth="1"/>
    <col min="9479" max="9479" width="3.5703125" customWidth="1"/>
    <col min="9480" max="9480" width="10.140625" bestFit="1" customWidth="1"/>
    <col min="9481" max="9481" width="3.28515625" customWidth="1"/>
    <col min="9482" max="9482" width="11.140625" bestFit="1" customWidth="1"/>
    <col min="9729" max="9729" width="40.7109375" customWidth="1"/>
    <col min="9730" max="9730" width="10.140625" bestFit="1" customWidth="1"/>
    <col min="9731" max="9731" width="3.28515625" customWidth="1"/>
    <col min="9732" max="9732" width="10.140625" bestFit="1" customWidth="1"/>
    <col min="9733" max="9733" width="3.28515625" customWidth="1"/>
    <col min="9734" max="9734" width="10.140625" bestFit="1" customWidth="1"/>
    <col min="9735" max="9735" width="3.5703125" customWidth="1"/>
    <col min="9736" max="9736" width="10.140625" bestFit="1" customWidth="1"/>
    <col min="9737" max="9737" width="3.28515625" customWidth="1"/>
    <col min="9738" max="9738" width="11.140625" bestFit="1" customWidth="1"/>
    <col min="9985" max="9985" width="40.7109375" customWidth="1"/>
    <col min="9986" max="9986" width="10.140625" bestFit="1" customWidth="1"/>
    <col min="9987" max="9987" width="3.28515625" customWidth="1"/>
    <col min="9988" max="9988" width="10.140625" bestFit="1" customWidth="1"/>
    <col min="9989" max="9989" width="3.28515625" customWidth="1"/>
    <col min="9990" max="9990" width="10.140625" bestFit="1" customWidth="1"/>
    <col min="9991" max="9991" width="3.5703125" customWidth="1"/>
    <col min="9992" max="9992" width="10.140625" bestFit="1" customWidth="1"/>
    <col min="9993" max="9993" width="3.28515625" customWidth="1"/>
    <col min="9994" max="9994" width="11.140625" bestFit="1" customWidth="1"/>
    <col min="10241" max="10241" width="40.7109375" customWidth="1"/>
    <col min="10242" max="10242" width="10.140625" bestFit="1" customWidth="1"/>
    <col min="10243" max="10243" width="3.28515625" customWidth="1"/>
    <col min="10244" max="10244" width="10.140625" bestFit="1" customWidth="1"/>
    <col min="10245" max="10245" width="3.28515625" customWidth="1"/>
    <col min="10246" max="10246" width="10.140625" bestFit="1" customWidth="1"/>
    <col min="10247" max="10247" width="3.5703125" customWidth="1"/>
    <col min="10248" max="10248" width="10.140625" bestFit="1" customWidth="1"/>
    <col min="10249" max="10249" width="3.28515625" customWidth="1"/>
    <col min="10250" max="10250" width="11.140625" bestFit="1" customWidth="1"/>
    <col min="10497" max="10497" width="40.7109375" customWidth="1"/>
    <col min="10498" max="10498" width="10.140625" bestFit="1" customWidth="1"/>
    <col min="10499" max="10499" width="3.28515625" customWidth="1"/>
    <col min="10500" max="10500" width="10.140625" bestFit="1" customWidth="1"/>
    <col min="10501" max="10501" width="3.28515625" customWidth="1"/>
    <col min="10502" max="10502" width="10.140625" bestFit="1" customWidth="1"/>
    <col min="10503" max="10503" width="3.5703125" customWidth="1"/>
    <col min="10504" max="10504" width="10.140625" bestFit="1" customWidth="1"/>
    <col min="10505" max="10505" width="3.28515625" customWidth="1"/>
    <col min="10506" max="10506" width="11.140625" bestFit="1" customWidth="1"/>
    <col min="10753" max="10753" width="40.7109375" customWidth="1"/>
    <col min="10754" max="10754" width="10.140625" bestFit="1" customWidth="1"/>
    <col min="10755" max="10755" width="3.28515625" customWidth="1"/>
    <col min="10756" max="10756" width="10.140625" bestFit="1" customWidth="1"/>
    <col min="10757" max="10757" width="3.28515625" customWidth="1"/>
    <col min="10758" max="10758" width="10.140625" bestFit="1" customWidth="1"/>
    <col min="10759" max="10759" width="3.5703125" customWidth="1"/>
    <col min="10760" max="10760" width="10.140625" bestFit="1" customWidth="1"/>
    <col min="10761" max="10761" width="3.28515625" customWidth="1"/>
    <col min="10762" max="10762" width="11.140625" bestFit="1" customWidth="1"/>
    <col min="11009" max="11009" width="40.7109375" customWidth="1"/>
    <col min="11010" max="11010" width="10.140625" bestFit="1" customWidth="1"/>
    <col min="11011" max="11011" width="3.28515625" customWidth="1"/>
    <col min="11012" max="11012" width="10.140625" bestFit="1" customWidth="1"/>
    <col min="11013" max="11013" width="3.28515625" customWidth="1"/>
    <col min="11014" max="11014" width="10.140625" bestFit="1" customWidth="1"/>
    <col min="11015" max="11015" width="3.5703125" customWidth="1"/>
    <col min="11016" max="11016" width="10.140625" bestFit="1" customWidth="1"/>
    <col min="11017" max="11017" width="3.28515625" customWidth="1"/>
    <col min="11018" max="11018" width="11.140625" bestFit="1" customWidth="1"/>
    <col min="11265" max="11265" width="40.7109375" customWidth="1"/>
    <col min="11266" max="11266" width="10.140625" bestFit="1" customWidth="1"/>
    <col min="11267" max="11267" width="3.28515625" customWidth="1"/>
    <col min="11268" max="11268" width="10.140625" bestFit="1" customWidth="1"/>
    <col min="11269" max="11269" width="3.28515625" customWidth="1"/>
    <col min="11270" max="11270" width="10.140625" bestFit="1" customWidth="1"/>
    <col min="11271" max="11271" width="3.5703125" customWidth="1"/>
    <col min="11272" max="11272" width="10.140625" bestFit="1" customWidth="1"/>
    <col min="11273" max="11273" width="3.28515625" customWidth="1"/>
    <col min="11274" max="11274" width="11.140625" bestFit="1" customWidth="1"/>
    <col min="11521" max="11521" width="40.7109375" customWidth="1"/>
    <col min="11522" max="11522" width="10.140625" bestFit="1" customWidth="1"/>
    <col min="11523" max="11523" width="3.28515625" customWidth="1"/>
    <col min="11524" max="11524" width="10.140625" bestFit="1" customWidth="1"/>
    <col min="11525" max="11525" width="3.28515625" customWidth="1"/>
    <col min="11526" max="11526" width="10.140625" bestFit="1" customWidth="1"/>
    <col min="11527" max="11527" width="3.5703125" customWidth="1"/>
    <col min="11528" max="11528" width="10.140625" bestFit="1" customWidth="1"/>
    <col min="11529" max="11529" width="3.28515625" customWidth="1"/>
    <col min="11530" max="11530" width="11.140625" bestFit="1" customWidth="1"/>
    <col min="11777" max="11777" width="40.7109375" customWidth="1"/>
    <col min="11778" max="11778" width="10.140625" bestFit="1" customWidth="1"/>
    <col min="11779" max="11779" width="3.28515625" customWidth="1"/>
    <col min="11780" max="11780" width="10.140625" bestFit="1" customWidth="1"/>
    <col min="11781" max="11781" width="3.28515625" customWidth="1"/>
    <col min="11782" max="11782" width="10.140625" bestFit="1" customWidth="1"/>
    <col min="11783" max="11783" width="3.5703125" customWidth="1"/>
    <col min="11784" max="11784" width="10.140625" bestFit="1" customWidth="1"/>
    <col min="11785" max="11785" width="3.28515625" customWidth="1"/>
    <col min="11786" max="11786" width="11.140625" bestFit="1" customWidth="1"/>
    <col min="12033" max="12033" width="40.7109375" customWidth="1"/>
    <col min="12034" max="12034" width="10.140625" bestFit="1" customWidth="1"/>
    <col min="12035" max="12035" width="3.28515625" customWidth="1"/>
    <col min="12036" max="12036" width="10.140625" bestFit="1" customWidth="1"/>
    <col min="12037" max="12037" width="3.28515625" customWidth="1"/>
    <col min="12038" max="12038" width="10.140625" bestFit="1" customWidth="1"/>
    <col min="12039" max="12039" width="3.5703125" customWidth="1"/>
    <col min="12040" max="12040" width="10.140625" bestFit="1" customWidth="1"/>
    <col min="12041" max="12041" width="3.28515625" customWidth="1"/>
    <col min="12042" max="12042" width="11.140625" bestFit="1" customWidth="1"/>
    <col min="12289" max="12289" width="40.7109375" customWidth="1"/>
    <col min="12290" max="12290" width="10.140625" bestFit="1" customWidth="1"/>
    <col min="12291" max="12291" width="3.28515625" customWidth="1"/>
    <col min="12292" max="12292" width="10.140625" bestFit="1" customWidth="1"/>
    <col min="12293" max="12293" width="3.28515625" customWidth="1"/>
    <col min="12294" max="12294" width="10.140625" bestFit="1" customWidth="1"/>
    <col min="12295" max="12295" width="3.5703125" customWidth="1"/>
    <col min="12296" max="12296" width="10.140625" bestFit="1" customWidth="1"/>
    <col min="12297" max="12297" width="3.28515625" customWidth="1"/>
    <col min="12298" max="12298" width="11.140625" bestFit="1" customWidth="1"/>
    <col min="12545" max="12545" width="40.7109375" customWidth="1"/>
    <col min="12546" max="12546" width="10.140625" bestFit="1" customWidth="1"/>
    <col min="12547" max="12547" width="3.28515625" customWidth="1"/>
    <col min="12548" max="12548" width="10.140625" bestFit="1" customWidth="1"/>
    <col min="12549" max="12549" width="3.28515625" customWidth="1"/>
    <col min="12550" max="12550" width="10.140625" bestFit="1" customWidth="1"/>
    <col min="12551" max="12551" width="3.5703125" customWidth="1"/>
    <col min="12552" max="12552" width="10.140625" bestFit="1" customWidth="1"/>
    <col min="12553" max="12553" width="3.28515625" customWidth="1"/>
    <col min="12554" max="12554" width="11.140625" bestFit="1" customWidth="1"/>
    <col min="12801" max="12801" width="40.7109375" customWidth="1"/>
    <col min="12802" max="12802" width="10.140625" bestFit="1" customWidth="1"/>
    <col min="12803" max="12803" width="3.28515625" customWidth="1"/>
    <col min="12804" max="12804" width="10.140625" bestFit="1" customWidth="1"/>
    <col min="12805" max="12805" width="3.28515625" customWidth="1"/>
    <col min="12806" max="12806" width="10.140625" bestFit="1" customWidth="1"/>
    <col min="12807" max="12807" width="3.5703125" customWidth="1"/>
    <col min="12808" max="12808" width="10.140625" bestFit="1" customWidth="1"/>
    <col min="12809" max="12809" width="3.28515625" customWidth="1"/>
    <col min="12810" max="12810" width="11.140625" bestFit="1" customWidth="1"/>
    <col min="13057" max="13057" width="40.7109375" customWidth="1"/>
    <col min="13058" max="13058" width="10.140625" bestFit="1" customWidth="1"/>
    <col min="13059" max="13059" width="3.28515625" customWidth="1"/>
    <col min="13060" max="13060" width="10.140625" bestFit="1" customWidth="1"/>
    <col min="13061" max="13061" width="3.28515625" customWidth="1"/>
    <col min="13062" max="13062" width="10.140625" bestFit="1" customWidth="1"/>
    <col min="13063" max="13063" width="3.5703125" customWidth="1"/>
    <col min="13064" max="13064" width="10.140625" bestFit="1" customWidth="1"/>
    <col min="13065" max="13065" width="3.28515625" customWidth="1"/>
    <col min="13066" max="13066" width="11.140625" bestFit="1" customWidth="1"/>
    <col min="13313" max="13313" width="40.7109375" customWidth="1"/>
    <col min="13314" max="13314" width="10.140625" bestFit="1" customWidth="1"/>
    <col min="13315" max="13315" width="3.28515625" customWidth="1"/>
    <col min="13316" max="13316" width="10.140625" bestFit="1" customWidth="1"/>
    <col min="13317" max="13317" width="3.28515625" customWidth="1"/>
    <col min="13318" max="13318" width="10.140625" bestFit="1" customWidth="1"/>
    <col min="13319" max="13319" width="3.5703125" customWidth="1"/>
    <col min="13320" max="13320" width="10.140625" bestFit="1" customWidth="1"/>
    <col min="13321" max="13321" width="3.28515625" customWidth="1"/>
    <col min="13322" max="13322" width="11.140625" bestFit="1" customWidth="1"/>
    <col min="13569" max="13569" width="40.7109375" customWidth="1"/>
    <col min="13570" max="13570" width="10.140625" bestFit="1" customWidth="1"/>
    <col min="13571" max="13571" width="3.28515625" customWidth="1"/>
    <col min="13572" max="13572" width="10.140625" bestFit="1" customWidth="1"/>
    <col min="13573" max="13573" width="3.28515625" customWidth="1"/>
    <col min="13574" max="13574" width="10.140625" bestFit="1" customWidth="1"/>
    <col min="13575" max="13575" width="3.5703125" customWidth="1"/>
    <col min="13576" max="13576" width="10.140625" bestFit="1" customWidth="1"/>
    <col min="13577" max="13577" width="3.28515625" customWidth="1"/>
    <col min="13578" max="13578" width="11.140625" bestFit="1" customWidth="1"/>
    <col min="13825" max="13825" width="40.7109375" customWidth="1"/>
    <col min="13826" max="13826" width="10.140625" bestFit="1" customWidth="1"/>
    <col min="13827" max="13827" width="3.28515625" customWidth="1"/>
    <col min="13828" max="13828" width="10.140625" bestFit="1" customWidth="1"/>
    <col min="13829" max="13829" width="3.28515625" customWidth="1"/>
    <col min="13830" max="13830" width="10.140625" bestFit="1" customWidth="1"/>
    <col min="13831" max="13831" width="3.5703125" customWidth="1"/>
    <col min="13832" max="13832" width="10.140625" bestFit="1" customWidth="1"/>
    <col min="13833" max="13833" width="3.28515625" customWidth="1"/>
    <col min="13834" max="13834" width="11.140625" bestFit="1" customWidth="1"/>
    <col min="14081" max="14081" width="40.7109375" customWidth="1"/>
    <col min="14082" max="14082" width="10.140625" bestFit="1" customWidth="1"/>
    <col min="14083" max="14083" width="3.28515625" customWidth="1"/>
    <col min="14084" max="14084" width="10.140625" bestFit="1" customWidth="1"/>
    <col min="14085" max="14085" width="3.28515625" customWidth="1"/>
    <col min="14086" max="14086" width="10.140625" bestFit="1" customWidth="1"/>
    <col min="14087" max="14087" width="3.5703125" customWidth="1"/>
    <col min="14088" max="14088" width="10.140625" bestFit="1" customWidth="1"/>
    <col min="14089" max="14089" width="3.28515625" customWidth="1"/>
    <col min="14090" max="14090" width="11.140625" bestFit="1" customWidth="1"/>
    <col min="14337" max="14337" width="40.7109375" customWidth="1"/>
    <col min="14338" max="14338" width="10.140625" bestFit="1" customWidth="1"/>
    <col min="14339" max="14339" width="3.28515625" customWidth="1"/>
    <col min="14340" max="14340" width="10.140625" bestFit="1" customWidth="1"/>
    <col min="14341" max="14341" width="3.28515625" customWidth="1"/>
    <col min="14342" max="14342" width="10.140625" bestFit="1" customWidth="1"/>
    <col min="14343" max="14343" width="3.5703125" customWidth="1"/>
    <col min="14344" max="14344" width="10.140625" bestFit="1" customWidth="1"/>
    <col min="14345" max="14345" width="3.28515625" customWidth="1"/>
    <col min="14346" max="14346" width="11.140625" bestFit="1" customWidth="1"/>
    <col min="14593" max="14593" width="40.7109375" customWidth="1"/>
    <col min="14594" max="14594" width="10.140625" bestFit="1" customWidth="1"/>
    <col min="14595" max="14595" width="3.28515625" customWidth="1"/>
    <col min="14596" max="14596" width="10.140625" bestFit="1" customWidth="1"/>
    <col min="14597" max="14597" width="3.28515625" customWidth="1"/>
    <col min="14598" max="14598" width="10.140625" bestFit="1" customWidth="1"/>
    <col min="14599" max="14599" width="3.5703125" customWidth="1"/>
    <col min="14600" max="14600" width="10.140625" bestFit="1" customWidth="1"/>
    <col min="14601" max="14601" width="3.28515625" customWidth="1"/>
    <col min="14602" max="14602" width="11.140625" bestFit="1" customWidth="1"/>
    <col min="14849" max="14849" width="40.7109375" customWidth="1"/>
    <col min="14850" max="14850" width="10.140625" bestFit="1" customWidth="1"/>
    <col min="14851" max="14851" width="3.28515625" customWidth="1"/>
    <col min="14852" max="14852" width="10.140625" bestFit="1" customWidth="1"/>
    <col min="14853" max="14853" width="3.28515625" customWidth="1"/>
    <col min="14854" max="14854" width="10.140625" bestFit="1" customWidth="1"/>
    <col min="14855" max="14855" width="3.5703125" customWidth="1"/>
    <col min="14856" max="14856" width="10.140625" bestFit="1" customWidth="1"/>
    <col min="14857" max="14857" width="3.28515625" customWidth="1"/>
    <col min="14858" max="14858" width="11.140625" bestFit="1" customWidth="1"/>
    <col min="15105" max="15105" width="40.7109375" customWidth="1"/>
    <col min="15106" max="15106" width="10.140625" bestFit="1" customWidth="1"/>
    <col min="15107" max="15107" width="3.28515625" customWidth="1"/>
    <col min="15108" max="15108" width="10.140625" bestFit="1" customWidth="1"/>
    <col min="15109" max="15109" width="3.28515625" customWidth="1"/>
    <col min="15110" max="15110" width="10.140625" bestFit="1" customWidth="1"/>
    <col min="15111" max="15111" width="3.5703125" customWidth="1"/>
    <col min="15112" max="15112" width="10.140625" bestFit="1" customWidth="1"/>
    <col min="15113" max="15113" width="3.28515625" customWidth="1"/>
    <col min="15114" max="15114" width="11.140625" bestFit="1" customWidth="1"/>
    <col min="15361" max="15361" width="40.7109375" customWidth="1"/>
    <col min="15362" max="15362" width="10.140625" bestFit="1" customWidth="1"/>
    <col min="15363" max="15363" width="3.28515625" customWidth="1"/>
    <col min="15364" max="15364" width="10.140625" bestFit="1" customWidth="1"/>
    <col min="15365" max="15365" width="3.28515625" customWidth="1"/>
    <col min="15366" max="15366" width="10.140625" bestFit="1" customWidth="1"/>
    <col min="15367" max="15367" width="3.5703125" customWidth="1"/>
    <col min="15368" max="15368" width="10.140625" bestFit="1" customWidth="1"/>
    <col min="15369" max="15369" width="3.28515625" customWidth="1"/>
    <col min="15370" max="15370" width="11.140625" bestFit="1" customWidth="1"/>
    <col min="15617" max="15617" width="40.7109375" customWidth="1"/>
    <col min="15618" max="15618" width="10.140625" bestFit="1" customWidth="1"/>
    <col min="15619" max="15619" width="3.28515625" customWidth="1"/>
    <col min="15620" max="15620" width="10.140625" bestFit="1" customWidth="1"/>
    <col min="15621" max="15621" width="3.28515625" customWidth="1"/>
    <col min="15622" max="15622" width="10.140625" bestFit="1" customWidth="1"/>
    <col min="15623" max="15623" width="3.5703125" customWidth="1"/>
    <col min="15624" max="15624" width="10.140625" bestFit="1" customWidth="1"/>
    <col min="15625" max="15625" width="3.28515625" customWidth="1"/>
    <col min="15626" max="15626" width="11.140625" bestFit="1" customWidth="1"/>
    <col min="15873" max="15873" width="40.7109375" customWidth="1"/>
    <col min="15874" max="15874" width="10.140625" bestFit="1" customWidth="1"/>
    <col min="15875" max="15875" width="3.28515625" customWidth="1"/>
    <col min="15876" max="15876" width="10.140625" bestFit="1" customWidth="1"/>
    <col min="15877" max="15877" width="3.28515625" customWidth="1"/>
    <col min="15878" max="15878" width="10.140625" bestFit="1" customWidth="1"/>
    <col min="15879" max="15879" width="3.5703125" customWidth="1"/>
    <col min="15880" max="15880" width="10.140625" bestFit="1" customWidth="1"/>
    <col min="15881" max="15881" width="3.28515625" customWidth="1"/>
    <col min="15882" max="15882" width="11.140625" bestFit="1" customWidth="1"/>
    <col min="16129" max="16129" width="40.7109375" customWidth="1"/>
    <col min="16130" max="16130" width="10.140625" bestFit="1" customWidth="1"/>
    <col min="16131" max="16131" width="3.28515625" customWidth="1"/>
    <col min="16132" max="16132" width="10.140625" bestFit="1" customWidth="1"/>
    <col min="16133" max="16133" width="3.28515625" customWidth="1"/>
    <col min="16134" max="16134" width="10.140625" bestFit="1" customWidth="1"/>
    <col min="16135" max="16135" width="3.5703125" customWidth="1"/>
    <col min="16136" max="16136" width="10.140625" bestFit="1" customWidth="1"/>
    <col min="16137" max="16137" width="3.28515625" customWidth="1"/>
    <col min="16138" max="16138" width="11.140625" bestFit="1" customWidth="1"/>
  </cols>
  <sheetData>
    <row r="1" spans="1:12" ht="20.25" x14ac:dyDescent="0.25">
      <c r="A1" s="341" t="s">
        <v>426</v>
      </c>
      <c r="B1" s="341"/>
      <c r="C1" s="341"/>
      <c r="D1" s="341"/>
      <c r="E1" s="341"/>
      <c r="F1" s="341"/>
      <c r="G1" s="341"/>
      <c r="H1" s="341"/>
      <c r="I1" s="341"/>
      <c r="J1" s="341"/>
    </row>
    <row r="2" spans="1:12" x14ac:dyDescent="0.25">
      <c r="A2" s="342"/>
      <c r="B2" s="343" t="s">
        <v>2</v>
      </c>
      <c r="C2" s="343"/>
      <c r="D2" s="344" t="s">
        <v>3</v>
      </c>
      <c r="E2" s="344"/>
      <c r="F2" s="344" t="s">
        <v>4</v>
      </c>
      <c r="G2" s="344"/>
      <c r="H2" s="344" t="s">
        <v>5</v>
      </c>
      <c r="I2" s="344"/>
      <c r="J2" s="344" t="s">
        <v>6</v>
      </c>
    </row>
    <row r="3" spans="1:12" x14ac:dyDescent="0.25">
      <c r="A3" s="345" t="s">
        <v>427</v>
      </c>
      <c r="B3" s="335"/>
      <c r="C3" s="335"/>
      <c r="D3" s="335"/>
      <c r="E3" s="335"/>
      <c r="F3" s="335"/>
      <c r="G3" s="335"/>
      <c r="H3" s="335"/>
      <c r="I3" s="335"/>
      <c r="J3" s="335"/>
    </row>
    <row r="4" spans="1:12" x14ac:dyDescent="0.25">
      <c r="A4" s="345" t="s">
        <v>346</v>
      </c>
      <c r="B4" s="335"/>
      <c r="C4" s="335"/>
      <c r="D4" s="335"/>
      <c r="E4" s="335"/>
      <c r="F4" s="335"/>
      <c r="G4" s="335"/>
      <c r="H4" s="335"/>
      <c r="I4" s="335"/>
      <c r="J4" s="335"/>
    </row>
    <row r="5" spans="1:12" x14ac:dyDescent="0.25">
      <c r="A5" s="335" t="s">
        <v>379</v>
      </c>
      <c r="B5" s="336"/>
      <c r="C5" s="336"/>
      <c r="D5" s="336"/>
      <c r="E5" s="336"/>
      <c r="F5" s="336"/>
      <c r="G5" s="336"/>
      <c r="H5" s="336"/>
      <c r="I5" s="336"/>
      <c r="J5" s="336"/>
      <c r="K5" s="188"/>
      <c r="L5" s="188"/>
    </row>
    <row r="6" spans="1:12" x14ac:dyDescent="0.25">
      <c r="A6" s="335" t="s">
        <v>343</v>
      </c>
      <c r="B6" s="336"/>
      <c r="C6" s="336"/>
      <c r="D6" s="336"/>
      <c r="E6" s="336"/>
      <c r="F6" s="336"/>
      <c r="G6" s="336"/>
      <c r="H6" s="336"/>
      <c r="I6" s="336"/>
      <c r="J6" s="336"/>
      <c r="K6" s="188"/>
    </row>
    <row r="7" spans="1:12" x14ac:dyDescent="0.25">
      <c r="A7" s="335" t="s">
        <v>304</v>
      </c>
      <c r="B7" s="339"/>
      <c r="C7" s="338"/>
      <c r="D7" s="336"/>
      <c r="E7" s="336"/>
      <c r="F7" s="336"/>
      <c r="G7" s="336"/>
      <c r="H7" s="336"/>
      <c r="I7" s="336"/>
      <c r="J7" s="336"/>
    </row>
    <row r="8" spans="1:12" s="348" customFormat="1" ht="12.75" x14ac:dyDescent="0.2">
      <c r="A8" s="345" t="s">
        <v>345</v>
      </c>
      <c r="B8" s="346"/>
      <c r="C8" s="346"/>
      <c r="D8" s="346"/>
      <c r="E8" s="346"/>
      <c r="F8" s="346"/>
      <c r="G8" s="346"/>
      <c r="H8" s="346"/>
      <c r="I8" s="346"/>
      <c r="J8" s="346"/>
      <c r="K8" s="347"/>
    </row>
    <row r="9" spans="1:12" s="348" customFormat="1" ht="12.75" x14ac:dyDescent="0.2">
      <c r="A9" s="345" t="s">
        <v>428</v>
      </c>
      <c r="B9" s="345"/>
      <c r="C9" s="345"/>
      <c r="D9" s="345"/>
      <c r="E9" s="345"/>
      <c r="F9" s="345"/>
      <c r="G9" s="345"/>
      <c r="H9" s="345"/>
      <c r="I9" s="345"/>
      <c r="J9" s="345"/>
    </row>
    <row r="10" spans="1:12" x14ac:dyDescent="0.25">
      <c r="A10" s="335" t="s">
        <v>429</v>
      </c>
      <c r="B10" s="336"/>
      <c r="C10" s="336"/>
      <c r="D10" s="336"/>
      <c r="E10" s="336"/>
      <c r="F10" s="336"/>
      <c r="G10" s="336"/>
      <c r="H10" s="336"/>
      <c r="I10" s="336"/>
      <c r="J10" s="336"/>
    </row>
    <row r="11" spans="1:12" x14ac:dyDescent="0.25">
      <c r="A11" s="335" t="s">
        <v>430</v>
      </c>
      <c r="B11" s="339"/>
      <c r="C11" s="338"/>
      <c r="D11" s="336"/>
      <c r="E11" s="336"/>
      <c r="F11" s="336"/>
      <c r="G11" s="336"/>
      <c r="H11" s="336"/>
      <c r="I11" s="336"/>
      <c r="J11" s="336"/>
    </row>
    <row r="12" spans="1:12" s="348" customFormat="1" ht="12.75" x14ac:dyDescent="0.2">
      <c r="A12" s="345" t="s">
        <v>431</v>
      </c>
      <c r="B12" s="346"/>
      <c r="C12" s="346"/>
      <c r="D12" s="346"/>
      <c r="E12" s="346"/>
      <c r="F12" s="346"/>
      <c r="G12" s="346"/>
      <c r="H12" s="346"/>
      <c r="I12" s="346"/>
      <c r="J12" s="346"/>
    </row>
    <row r="13" spans="1:12" s="348" customFormat="1" ht="12.75" x14ac:dyDescent="0.2">
      <c r="A13" s="345" t="s">
        <v>432</v>
      </c>
      <c r="B13" s="345"/>
      <c r="C13" s="345"/>
      <c r="D13" s="345"/>
      <c r="E13" s="345"/>
      <c r="F13" s="345"/>
      <c r="G13" s="345"/>
      <c r="H13" s="345"/>
      <c r="I13" s="345"/>
      <c r="J13" s="345"/>
    </row>
    <row r="14" spans="1:12" x14ac:dyDescent="0.25">
      <c r="A14" s="335" t="s">
        <v>433</v>
      </c>
      <c r="B14" s="336"/>
      <c r="C14" s="336"/>
      <c r="D14" s="336"/>
      <c r="E14" s="336"/>
      <c r="F14" s="336"/>
      <c r="G14" s="336"/>
      <c r="H14" s="336"/>
      <c r="I14" s="336"/>
      <c r="J14" s="336"/>
    </row>
    <row r="15" spans="1:12" x14ac:dyDescent="0.25">
      <c r="A15" s="335" t="s">
        <v>434</v>
      </c>
      <c r="B15" s="339"/>
      <c r="C15" s="338"/>
      <c r="D15" s="336"/>
      <c r="E15" s="336"/>
      <c r="F15" s="336"/>
      <c r="G15" s="336"/>
      <c r="H15" s="336"/>
      <c r="I15" s="336"/>
      <c r="J15" s="336"/>
    </row>
    <row r="16" spans="1:12" s="348" customFormat="1" ht="12.75" x14ac:dyDescent="0.2">
      <c r="A16" s="345" t="s">
        <v>435</v>
      </c>
      <c r="B16" s="346"/>
      <c r="C16" s="346"/>
      <c r="D16" s="346"/>
      <c r="E16" s="346"/>
      <c r="F16" s="346"/>
      <c r="G16" s="346"/>
      <c r="H16" s="346"/>
      <c r="I16" s="346"/>
      <c r="J16" s="346"/>
    </row>
    <row r="17" spans="1:11" s="348" customFormat="1" ht="12.75" x14ac:dyDescent="0.2">
      <c r="A17" s="345" t="s">
        <v>349</v>
      </c>
      <c r="B17" s="346"/>
      <c r="C17" s="346"/>
      <c r="D17" s="346"/>
      <c r="E17" s="346"/>
      <c r="F17" s="346"/>
      <c r="G17" s="346"/>
      <c r="H17" s="346"/>
      <c r="I17" s="346"/>
      <c r="J17" s="346"/>
    </row>
    <row r="18" spans="1:11" s="348" customFormat="1" ht="12.75" x14ac:dyDescent="0.2">
      <c r="A18" s="345" t="s">
        <v>361</v>
      </c>
      <c r="B18" s="345"/>
      <c r="C18" s="345"/>
      <c r="D18" s="345"/>
      <c r="E18" s="345"/>
      <c r="F18" s="345"/>
      <c r="G18" s="345"/>
      <c r="H18" s="345"/>
      <c r="I18" s="345"/>
      <c r="J18" s="345"/>
    </row>
    <row r="19" spans="1:11" s="348" customFormat="1" ht="12.75" x14ac:dyDescent="0.2">
      <c r="A19" s="345" t="s">
        <v>436</v>
      </c>
      <c r="B19" s="345"/>
      <c r="C19" s="345"/>
      <c r="D19" s="345"/>
      <c r="E19" s="345"/>
      <c r="F19" s="345"/>
      <c r="G19" s="345"/>
      <c r="H19" s="345"/>
      <c r="I19" s="345"/>
      <c r="J19" s="345"/>
    </row>
    <row r="20" spans="1:11" ht="25.5" x14ac:dyDescent="0.25">
      <c r="A20" s="349" t="s">
        <v>437</v>
      </c>
      <c r="B20" s="336"/>
      <c r="C20" s="336"/>
      <c r="D20" s="336"/>
      <c r="E20" s="336"/>
      <c r="F20" s="336"/>
      <c r="G20" s="336"/>
      <c r="H20" s="336"/>
      <c r="I20" s="336"/>
      <c r="J20" s="336"/>
    </row>
    <row r="21" spans="1:11" x14ac:dyDescent="0.25">
      <c r="A21" s="335" t="s">
        <v>421</v>
      </c>
      <c r="B21" s="338"/>
      <c r="C21" s="338"/>
      <c r="D21" s="336"/>
      <c r="E21" s="336"/>
      <c r="F21" s="336"/>
      <c r="G21" s="336"/>
      <c r="H21" s="336"/>
      <c r="I21" s="336"/>
      <c r="J21" s="336"/>
    </row>
    <row r="22" spans="1:11" s="348" customFormat="1" ht="12.75" x14ac:dyDescent="0.2">
      <c r="A22" s="345" t="s">
        <v>438</v>
      </c>
      <c r="B22" s="346"/>
      <c r="C22" s="346"/>
      <c r="D22" s="346"/>
      <c r="E22" s="346"/>
      <c r="F22" s="346"/>
      <c r="G22" s="346"/>
      <c r="H22" s="346"/>
      <c r="I22" s="346"/>
      <c r="J22" s="346"/>
      <c r="K22" s="347"/>
    </row>
    <row r="23" spans="1:11" s="348" customFormat="1" ht="12.75" x14ac:dyDescent="0.2">
      <c r="A23" s="345" t="s">
        <v>439</v>
      </c>
      <c r="B23" s="345"/>
      <c r="C23" s="345"/>
      <c r="D23" s="345"/>
      <c r="E23" s="345"/>
      <c r="F23" s="345"/>
      <c r="G23" s="345"/>
      <c r="H23" s="345"/>
      <c r="I23" s="345"/>
      <c r="J23" s="345"/>
    </row>
    <row r="24" spans="1:11" x14ac:dyDescent="0.25">
      <c r="A24" s="335" t="s">
        <v>440</v>
      </c>
      <c r="B24" s="336"/>
      <c r="C24" s="336"/>
      <c r="D24" s="336"/>
      <c r="E24" s="336"/>
      <c r="F24" s="336"/>
      <c r="G24" s="336"/>
      <c r="H24" s="336"/>
      <c r="I24" s="335"/>
      <c r="J24" s="335"/>
    </row>
    <row r="25" spans="1:11" s="348" customFormat="1" ht="12.75" x14ac:dyDescent="0.2">
      <c r="A25" s="350" t="s">
        <v>364</v>
      </c>
      <c r="B25" s="346"/>
      <c r="C25" s="346"/>
      <c r="D25" s="346"/>
      <c r="E25" s="346"/>
      <c r="F25" s="346"/>
      <c r="G25" s="346"/>
      <c r="H25" s="346"/>
      <c r="I25" s="346"/>
      <c r="J25" s="346"/>
    </row>
    <row r="26" spans="1:11" s="348" customFormat="1" ht="12.75" x14ac:dyDescent="0.2">
      <c r="A26" s="351" t="s">
        <v>441</v>
      </c>
      <c r="B26" s="352"/>
      <c r="C26" s="352"/>
      <c r="D26" s="352"/>
      <c r="E26" s="352"/>
      <c r="F26" s="352"/>
      <c r="G26" s="352"/>
      <c r="H26" s="352"/>
      <c r="I26" s="352"/>
      <c r="J26" s="352"/>
    </row>
    <row r="27" spans="1:11" s="348" customFormat="1" ht="12.75" x14ac:dyDescent="0.2">
      <c r="A27" s="345" t="s">
        <v>365</v>
      </c>
      <c r="B27" s="345"/>
      <c r="C27" s="345"/>
      <c r="D27" s="345"/>
      <c r="E27" s="345"/>
      <c r="F27" s="345"/>
      <c r="G27" s="345"/>
      <c r="H27" s="345"/>
      <c r="I27" s="345"/>
      <c r="J27" s="345"/>
    </row>
    <row r="28" spans="1:11" x14ac:dyDescent="0.25">
      <c r="A28" s="335" t="s">
        <v>442</v>
      </c>
      <c r="B28" s="336"/>
      <c r="C28" s="336"/>
      <c r="D28" s="336"/>
      <c r="E28" s="336"/>
      <c r="F28" s="336"/>
      <c r="G28" s="336"/>
      <c r="H28" s="336"/>
      <c r="I28" s="336"/>
      <c r="J28" s="336"/>
    </row>
    <row r="29" spans="1:11" x14ac:dyDescent="0.25">
      <c r="A29" s="335" t="s">
        <v>417</v>
      </c>
      <c r="B29" s="336"/>
      <c r="C29" s="336"/>
      <c r="D29" s="336"/>
      <c r="E29" s="336"/>
      <c r="F29" s="336"/>
      <c r="G29" s="336"/>
      <c r="H29" s="336"/>
      <c r="I29" s="336"/>
      <c r="J29" s="336"/>
    </row>
    <row r="30" spans="1:11" x14ac:dyDescent="0.25">
      <c r="A30" s="335" t="s">
        <v>418</v>
      </c>
      <c r="B30" s="335"/>
      <c r="C30" s="335"/>
      <c r="D30" s="335"/>
      <c r="E30" s="335"/>
      <c r="F30" s="335"/>
      <c r="G30" s="335"/>
      <c r="H30" s="335"/>
      <c r="I30" s="335"/>
      <c r="J30" s="335"/>
    </row>
    <row r="31" spans="1:11" x14ac:dyDescent="0.25">
      <c r="A31" s="335" t="s">
        <v>443</v>
      </c>
      <c r="B31" s="336"/>
      <c r="C31" s="336"/>
      <c r="D31" s="336"/>
      <c r="E31" s="336"/>
      <c r="F31" s="336"/>
      <c r="G31" s="336"/>
      <c r="H31" s="336"/>
      <c r="I31" s="336"/>
      <c r="J31" s="336"/>
    </row>
    <row r="32" spans="1:11" s="348" customFormat="1" ht="12.75" x14ac:dyDescent="0.2">
      <c r="A32" s="345" t="s">
        <v>367</v>
      </c>
      <c r="B32" s="346"/>
      <c r="C32" s="346"/>
      <c r="D32" s="346"/>
      <c r="E32" s="346"/>
      <c r="F32" s="346"/>
      <c r="G32" s="346"/>
      <c r="H32" s="346"/>
      <c r="I32" s="346"/>
      <c r="J32" s="346"/>
    </row>
    <row r="33" spans="1:10" s="348" customFormat="1" ht="13.5" thickBot="1" x14ac:dyDescent="0.25">
      <c r="A33" s="345" t="s">
        <v>444</v>
      </c>
      <c r="B33" s="353"/>
      <c r="C33" s="353"/>
      <c r="D33" s="353"/>
      <c r="E33" s="353"/>
      <c r="F33" s="353"/>
      <c r="G33" s="353"/>
      <c r="H33" s="353"/>
      <c r="I33" s="353"/>
      <c r="J33" s="353"/>
    </row>
    <row r="34" spans="1:10" ht="15.75" thickTop="1" x14ac:dyDescent="0.25">
      <c r="B34" s="188"/>
      <c r="C34" s="188"/>
      <c r="D34" s="188"/>
      <c r="E34" s="188"/>
      <c r="F34" s="188"/>
      <c r="G34" s="188"/>
      <c r="H34" s="188"/>
      <c r="I34" s="188"/>
      <c r="J34" s="188"/>
    </row>
    <row r="35" spans="1:10" x14ac:dyDescent="0.25">
      <c r="B35" s="188"/>
      <c r="C35" s="188"/>
      <c r="J35" s="188"/>
    </row>
    <row r="36" spans="1:10" x14ac:dyDescent="0.25">
      <c r="B36" s="188"/>
      <c r="C36" s="188"/>
    </row>
  </sheetData>
  <mergeCells count="1">
    <mergeCell ref="A1:J1"/>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8"/>
  <sheetViews>
    <sheetView workbookViewId="0">
      <selection activeCell="A8" sqref="A8"/>
    </sheetView>
  </sheetViews>
  <sheetFormatPr baseColWidth="10" defaultRowHeight="15" x14ac:dyDescent="0.25"/>
  <cols>
    <col min="1" max="1" width="37.42578125" customWidth="1"/>
    <col min="2" max="2" width="11.5703125" bestFit="1" customWidth="1"/>
    <col min="3" max="3" width="12.7109375" bestFit="1" customWidth="1"/>
    <col min="4" max="4" width="2.7109375" customWidth="1"/>
    <col min="5" max="5" width="13" bestFit="1" customWidth="1"/>
    <col min="6" max="6" width="12" bestFit="1" customWidth="1"/>
    <col min="7" max="7" width="2.7109375" customWidth="1"/>
    <col min="8" max="9" width="12" bestFit="1" customWidth="1"/>
    <col min="10" max="10" width="2.7109375" customWidth="1"/>
    <col min="11" max="12" width="12" bestFit="1" customWidth="1"/>
    <col min="13" max="13" width="2.7109375" customWidth="1"/>
    <col min="14" max="15" width="12" bestFit="1" customWidth="1"/>
    <col min="257" max="257" width="37.42578125" customWidth="1"/>
    <col min="258" max="258" width="11.5703125" bestFit="1" customWidth="1"/>
    <col min="259" max="259" width="12.7109375" bestFit="1" customWidth="1"/>
    <col min="260" max="260" width="2.7109375" customWidth="1"/>
    <col min="261" max="261" width="13" bestFit="1" customWidth="1"/>
    <col min="262" max="262" width="12" bestFit="1" customWidth="1"/>
    <col min="263" max="263" width="2.7109375" customWidth="1"/>
    <col min="264" max="265" width="12" bestFit="1" customWidth="1"/>
    <col min="266" max="266" width="2.7109375" customWidth="1"/>
    <col min="267" max="268" width="12" bestFit="1" customWidth="1"/>
    <col min="269" max="269" width="2.7109375" customWidth="1"/>
    <col min="270" max="271" width="12" bestFit="1" customWidth="1"/>
    <col min="513" max="513" width="37.42578125" customWidth="1"/>
    <col min="514" max="514" width="11.5703125" bestFit="1" customWidth="1"/>
    <col min="515" max="515" width="12.7109375" bestFit="1" customWidth="1"/>
    <col min="516" max="516" width="2.7109375" customWidth="1"/>
    <col min="517" max="517" width="13" bestFit="1" customWidth="1"/>
    <col min="518" max="518" width="12" bestFit="1" customWidth="1"/>
    <col min="519" max="519" width="2.7109375" customWidth="1"/>
    <col min="520" max="521" width="12" bestFit="1" customWidth="1"/>
    <col min="522" max="522" width="2.7109375" customWidth="1"/>
    <col min="523" max="524" width="12" bestFit="1" customWidth="1"/>
    <col min="525" max="525" width="2.7109375" customWidth="1"/>
    <col min="526" max="527" width="12" bestFit="1" customWidth="1"/>
    <col min="769" max="769" width="37.42578125" customWidth="1"/>
    <col min="770" max="770" width="11.5703125" bestFit="1" customWidth="1"/>
    <col min="771" max="771" width="12.7109375" bestFit="1" customWidth="1"/>
    <col min="772" max="772" width="2.7109375" customWidth="1"/>
    <col min="773" max="773" width="13" bestFit="1" customWidth="1"/>
    <col min="774" max="774" width="12" bestFit="1" customWidth="1"/>
    <col min="775" max="775" width="2.7109375" customWidth="1"/>
    <col min="776" max="777" width="12" bestFit="1" customWidth="1"/>
    <col min="778" max="778" width="2.7109375" customWidth="1"/>
    <col min="779" max="780" width="12" bestFit="1" customWidth="1"/>
    <col min="781" max="781" width="2.7109375" customWidth="1"/>
    <col min="782" max="783" width="12" bestFit="1" customWidth="1"/>
    <col min="1025" max="1025" width="37.42578125" customWidth="1"/>
    <col min="1026" max="1026" width="11.5703125" bestFit="1" customWidth="1"/>
    <col min="1027" max="1027" width="12.7109375" bestFit="1" customWidth="1"/>
    <col min="1028" max="1028" width="2.7109375" customWidth="1"/>
    <col min="1029" max="1029" width="13" bestFit="1" customWidth="1"/>
    <col min="1030" max="1030" width="12" bestFit="1" customWidth="1"/>
    <col min="1031" max="1031" width="2.7109375" customWidth="1"/>
    <col min="1032" max="1033" width="12" bestFit="1" customWidth="1"/>
    <col min="1034" max="1034" width="2.7109375" customWidth="1"/>
    <col min="1035" max="1036" width="12" bestFit="1" customWidth="1"/>
    <col min="1037" max="1037" width="2.7109375" customWidth="1"/>
    <col min="1038" max="1039" width="12" bestFit="1" customWidth="1"/>
    <col min="1281" max="1281" width="37.42578125" customWidth="1"/>
    <col min="1282" max="1282" width="11.5703125" bestFit="1" customWidth="1"/>
    <col min="1283" max="1283" width="12.7109375" bestFit="1" customWidth="1"/>
    <col min="1284" max="1284" width="2.7109375" customWidth="1"/>
    <col min="1285" max="1285" width="13" bestFit="1" customWidth="1"/>
    <col min="1286" max="1286" width="12" bestFit="1" customWidth="1"/>
    <col min="1287" max="1287" width="2.7109375" customWidth="1"/>
    <col min="1288" max="1289" width="12" bestFit="1" customWidth="1"/>
    <col min="1290" max="1290" width="2.7109375" customWidth="1"/>
    <col min="1291" max="1292" width="12" bestFit="1" customWidth="1"/>
    <col min="1293" max="1293" width="2.7109375" customWidth="1"/>
    <col min="1294" max="1295" width="12" bestFit="1" customWidth="1"/>
    <col min="1537" max="1537" width="37.42578125" customWidth="1"/>
    <col min="1538" max="1538" width="11.5703125" bestFit="1" customWidth="1"/>
    <col min="1539" max="1539" width="12.7109375" bestFit="1" customWidth="1"/>
    <col min="1540" max="1540" width="2.7109375" customWidth="1"/>
    <col min="1541" max="1541" width="13" bestFit="1" customWidth="1"/>
    <col min="1542" max="1542" width="12" bestFit="1" customWidth="1"/>
    <col min="1543" max="1543" width="2.7109375" customWidth="1"/>
    <col min="1544" max="1545" width="12" bestFit="1" customWidth="1"/>
    <col min="1546" max="1546" width="2.7109375" customWidth="1"/>
    <col min="1547" max="1548" width="12" bestFit="1" customWidth="1"/>
    <col min="1549" max="1549" width="2.7109375" customWidth="1"/>
    <col min="1550" max="1551" width="12" bestFit="1" customWidth="1"/>
    <col min="1793" max="1793" width="37.42578125" customWidth="1"/>
    <col min="1794" max="1794" width="11.5703125" bestFit="1" customWidth="1"/>
    <col min="1795" max="1795" width="12.7109375" bestFit="1" customWidth="1"/>
    <col min="1796" max="1796" width="2.7109375" customWidth="1"/>
    <col min="1797" max="1797" width="13" bestFit="1" customWidth="1"/>
    <col min="1798" max="1798" width="12" bestFit="1" customWidth="1"/>
    <col min="1799" max="1799" width="2.7109375" customWidth="1"/>
    <col min="1800" max="1801" width="12" bestFit="1" customWidth="1"/>
    <col min="1802" max="1802" width="2.7109375" customWidth="1"/>
    <col min="1803" max="1804" width="12" bestFit="1" customWidth="1"/>
    <col min="1805" max="1805" width="2.7109375" customWidth="1"/>
    <col min="1806" max="1807" width="12" bestFit="1" customWidth="1"/>
    <col min="2049" max="2049" width="37.42578125" customWidth="1"/>
    <col min="2050" max="2050" width="11.5703125" bestFit="1" customWidth="1"/>
    <col min="2051" max="2051" width="12.7109375" bestFit="1" customWidth="1"/>
    <col min="2052" max="2052" width="2.7109375" customWidth="1"/>
    <col min="2053" max="2053" width="13" bestFit="1" customWidth="1"/>
    <col min="2054" max="2054" width="12" bestFit="1" customWidth="1"/>
    <col min="2055" max="2055" width="2.7109375" customWidth="1"/>
    <col min="2056" max="2057" width="12" bestFit="1" customWidth="1"/>
    <col min="2058" max="2058" width="2.7109375" customWidth="1"/>
    <col min="2059" max="2060" width="12" bestFit="1" customWidth="1"/>
    <col min="2061" max="2061" width="2.7109375" customWidth="1"/>
    <col min="2062" max="2063" width="12" bestFit="1" customWidth="1"/>
    <col min="2305" max="2305" width="37.42578125" customWidth="1"/>
    <col min="2306" max="2306" width="11.5703125" bestFit="1" customWidth="1"/>
    <col min="2307" max="2307" width="12.7109375" bestFit="1" customWidth="1"/>
    <col min="2308" max="2308" width="2.7109375" customWidth="1"/>
    <col min="2309" max="2309" width="13" bestFit="1" customWidth="1"/>
    <col min="2310" max="2310" width="12" bestFit="1" customWidth="1"/>
    <col min="2311" max="2311" width="2.7109375" customWidth="1"/>
    <col min="2312" max="2313" width="12" bestFit="1" customWidth="1"/>
    <col min="2314" max="2314" width="2.7109375" customWidth="1"/>
    <col min="2315" max="2316" width="12" bestFit="1" customWidth="1"/>
    <col min="2317" max="2317" width="2.7109375" customWidth="1"/>
    <col min="2318" max="2319" width="12" bestFit="1" customWidth="1"/>
    <col min="2561" max="2561" width="37.42578125" customWidth="1"/>
    <col min="2562" max="2562" width="11.5703125" bestFit="1" customWidth="1"/>
    <col min="2563" max="2563" width="12.7109375" bestFit="1" customWidth="1"/>
    <col min="2564" max="2564" width="2.7109375" customWidth="1"/>
    <col min="2565" max="2565" width="13" bestFit="1" customWidth="1"/>
    <col min="2566" max="2566" width="12" bestFit="1" customWidth="1"/>
    <col min="2567" max="2567" width="2.7109375" customWidth="1"/>
    <col min="2568" max="2569" width="12" bestFit="1" customWidth="1"/>
    <col min="2570" max="2570" width="2.7109375" customWidth="1"/>
    <col min="2571" max="2572" width="12" bestFit="1" customWidth="1"/>
    <col min="2573" max="2573" width="2.7109375" customWidth="1"/>
    <col min="2574" max="2575" width="12" bestFit="1" customWidth="1"/>
    <col min="2817" max="2817" width="37.42578125" customWidth="1"/>
    <col min="2818" max="2818" width="11.5703125" bestFit="1" customWidth="1"/>
    <col min="2819" max="2819" width="12.7109375" bestFit="1" customWidth="1"/>
    <col min="2820" max="2820" width="2.7109375" customWidth="1"/>
    <col min="2821" max="2821" width="13" bestFit="1" customWidth="1"/>
    <col min="2822" max="2822" width="12" bestFit="1" customWidth="1"/>
    <col min="2823" max="2823" width="2.7109375" customWidth="1"/>
    <col min="2824" max="2825" width="12" bestFit="1" customWidth="1"/>
    <col min="2826" max="2826" width="2.7109375" customWidth="1"/>
    <col min="2827" max="2828" width="12" bestFit="1" customWidth="1"/>
    <col min="2829" max="2829" width="2.7109375" customWidth="1"/>
    <col min="2830" max="2831" width="12" bestFit="1" customWidth="1"/>
    <col min="3073" max="3073" width="37.42578125" customWidth="1"/>
    <col min="3074" max="3074" width="11.5703125" bestFit="1" customWidth="1"/>
    <col min="3075" max="3075" width="12.7109375" bestFit="1" customWidth="1"/>
    <col min="3076" max="3076" width="2.7109375" customWidth="1"/>
    <col min="3077" max="3077" width="13" bestFit="1" customWidth="1"/>
    <col min="3078" max="3078" width="12" bestFit="1" customWidth="1"/>
    <col min="3079" max="3079" width="2.7109375" customWidth="1"/>
    <col min="3080" max="3081" width="12" bestFit="1" customWidth="1"/>
    <col min="3082" max="3082" width="2.7109375" customWidth="1"/>
    <col min="3083" max="3084" width="12" bestFit="1" customWidth="1"/>
    <col min="3085" max="3085" width="2.7109375" customWidth="1"/>
    <col min="3086" max="3087" width="12" bestFit="1" customWidth="1"/>
    <col min="3329" max="3329" width="37.42578125" customWidth="1"/>
    <col min="3330" max="3330" width="11.5703125" bestFit="1" customWidth="1"/>
    <col min="3331" max="3331" width="12.7109375" bestFit="1" customWidth="1"/>
    <col min="3332" max="3332" width="2.7109375" customWidth="1"/>
    <col min="3333" max="3333" width="13" bestFit="1" customWidth="1"/>
    <col min="3334" max="3334" width="12" bestFit="1" customWidth="1"/>
    <col min="3335" max="3335" width="2.7109375" customWidth="1"/>
    <col min="3336" max="3337" width="12" bestFit="1" customWidth="1"/>
    <col min="3338" max="3338" width="2.7109375" customWidth="1"/>
    <col min="3339" max="3340" width="12" bestFit="1" customWidth="1"/>
    <col min="3341" max="3341" width="2.7109375" customWidth="1"/>
    <col min="3342" max="3343" width="12" bestFit="1" customWidth="1"/>
    <col min="3585" max="3585" width="37.42578125" customWidth="1"/>
    <col min="3586" max="3586" width="11.5703125" bestFit="1" customWidth="1"/>
    <col min="3587" max="3587" width="12.7109375" bestFit="1" customWidth="1"/>
    <col min="3588" max="3588" width="2.7109375" customWidth="1"/>
    <col min="3589" max="3589" width="13" bestFit="1" customWidth="1"/>
    <col min="3590" max="3590" width="12" bestFit="1" customWidth="1"/>
    <col min="3591" max="3591" width="2.7109375" customWidth="1"/>
    <col min="3592" max="3593" width="12" bestFit="1" customWidth="1"/>
    <col min="3594" max="3594" width="2.7109375" customWidth="1"/>
    <col min="3595" max="3596" width="12" bestFit="1" customWidth="1"/>
    <col min="3597" max="3597" width="2.7109375" customWidth="1"/>
    <col min="3598" max="3599" width="12" bestFit="1" customWidth="1"/>
    <col min="3841" max="3841" width="37.42578125" customWidth="1"/>
    <col min="3842" max="3842" width="11.5703125" bestFit="1" customWidth="1"/>
    <col min="3843" max="3843" width="12.7109375" bestFit="1" customWidth="1"/>
    <col min="3844" max="3844" width="2.7109375" customWidth="1"/>
    <col min="3845" max="3845" width="13" bestFit="1" customWidth="1"/>
    <col min="3846" max="3846" width="12" bestFit="1" customWidth="1"/>
    <col min="3847" max="3847" width="2.7109375" customWidth="1"/>
    <col min="3848" max="3849" width="12" bestFit="1" customWidth="1"/>
    <col min="3850" max="3850" width="2.7109375" customWidth="1"/>
    <col min="3851" max="3852" width="12" bestFit="1" customWidth="1"/>
    <col min="3853" max="3853" width="2.7109375" customWidth="1"/>
    <col min="3854" max="3855" width="12" bestFit="1" customWidth="1"/>
    <col min="4097" max="4097" width="37.42578125" customWidth="1"/>
    <col min="4098" max="4098" width="11.5703125" bestFit="1" customWidth="1"/>
    <col min="4099" max="4099" width="12.7109375" bestFit="1" customWidth="1"/>
    <col min="4100" max="4100" width="2.7109375" customWidth="1"/>
    <col min="4101" max="4101" width="13" bestFit="1" customWidth="1"/>
    <col min="4102" max="4102" width="12" bestFit="1" customWidth="1"/>
    <col min="4103" max="4103" width="2.7109375" customWidth="1"/>
    <col min="4104" max="4105" width="12" bestFit="1" customWidth="1"/>
    <col min="4106" max="4106" width="2.7109375" customWidth="1"/>
    <col min="4107" max="4108" width="12" bestFit="1" customWidth="1"/>
    <col min="4109" max="4109" width="2.7109375" customWidth="1"/>
    <col min="4110" max="4111" width="12" bestFit="1" customWidth="1"/>
    <col min="4353" max="4353" width="37.42578125" customWidth="1"/>
    <col min="4354" max="4354" width="11.5703125" bestFit="1" customWidth="1"/>
    <col min="4355" max="4355" width="12.7109375" bestFit="1" customWidth="1"/>
    <col min="4356" max="4356" width="2.7109375" customWidth="1"/>
    <col min="4357" max="4357" width="13" bestFit="1" customWidth="1"/>
    <col min="4358" max="4358" width="12" bestFit="1" customWidth="1"/>
    <col min="4359" max="4359" width="2.7109375" customWidth="1"/>
    <col min="4360" max="4361" width="12" bestFit="1" customWidth="1"/>
    <col min="4362" max="4362" width="2.7109375" customWidth="1"/>
    <col min="4363" max="4364" width="12" bestFit="1" customWidth="1"/>
    <col min="4365" max="4365" width="2.7109375" customWidth="1"/>
    <col min="4366" max="4367" width="12" bestFit="1" customWidth="1"/>
    <col min="4609" max="4609" width="37.42578125" customWidth="1"/>
    <col min="4610" max="4610" width="11.5703125" bestFit="1" customWidth="1"/>
    <col min="4611" max="4611" width="12.7109375" bestFit="1" customWidth="1"/>
    <col min="4612" max="4612" width="2.7109375" customWidth="1"/>
    <col min="4613" max="4613" width="13" bestFit="1" customWidth="1"/>
    <col min="4614" max="4614" width="12" bestFit="1" customWidth="1"/>
    <col min="4615" max="4615" width="2.7109375" customWidth="1"/>
    <col min="4616" max="4617" width="12" bestFit="1" customWidth="1"/>
    <col min="4618" max="4618" width="2.7109375" customWidth="1"/>
    <col min="4619" max="4620" width="12" bestFit="1" customWidth="1"/>
    <col min="4621" max="4621" width="2.7109375" customWidth="1"/>
    <col min="4622" max="4623" width="12" bestFit="1" customWidth="1"/>
    <col min="4865" max="4865" width="37.42578125" customWidth="1"/>
    <col min="4866" max="4866" width="11.5703125" bestFit="1" customWidth="1"/>
    <col min="4867" max="4867" width="12.7109375" bestFit="1" customWidth="1"/>
    <col min="4868" max="4868" width="2.7109375" customWidth="1"/>
    <col min="4869" max="4869" width="13" bestFit="1" customWidth="1"/>
    <col min="4870" max="4870" width="12" bestFit="1" customWidth="1"/>
    <col min="4871" max="4871" width="2.7109375" customWidth="1"/>
    <col min="4872" max="4873" width="12" bestFit="1" customWidth="1"/>
    <col min="4874" max="4874" width="2.7109375" customWidth="1"/>
    <col min="4875" max="4876" width="12" bestFit="1" customWidth="1"/>
    <col min="4877" max="4877" width="2.7109375" customWidth="1"/>
    <col min="4878" max="4879" width="12" bestFit="1" customWidth="1"/>
    <col min="5121" max="5121" width="37.42578125" customWidth="1"/>
    <col min="5122" max="5122" width="11.5703125" bestFit="1" customWidth="1"/>
    <col min="5123" max="5123" width="12.7109375" bestFit="1" customWidth="1"/>
    <col min="5124" max="5124" width="2.7109375" customWidth="1"/>
    <col min="5125" max="5125" width="13" bestFit="1" customWidth="1"/>
    <col min="5126" max="5126" width="12" bestFit="1" customWidth="1"/>
    <col min="5127" max="5127" width="2.7109375" customWidth="1"/>
    <col min="5128" max="5129" width="12" bestFit="1" customWidth="1"/>
    <col min="5130" max="5130" width="2.7109375" customWidth="1"/>
    <col min="5131" max="5132" width="12" bestFit="1" customWidth="1"/>
    <col min="5133" max="5133" width="2.7109375" customWidth="1"/>
    <col min="5134" max="5135" width="12" bestFit="1" customWidth="1"/>
    <col min="5377" max="5377" width="37.42578125" customWidth="1"/>
    <col min="5378" max="5378" width="11.5703125" bestFit="1" customWidth="1"/>
    <col min="5379" max="5379" width="12.7109375" bestFit="1" customWidth="1"/>
    <col min="5380" max="5380" width="2.7109375" customWidth="1"/>
    <col min="5381" max="5381" width="13" bestFit="1" customWidth="1"/>
    <col min="5382" max="5382" width="12" bestFit="1" customWidth="1"/>
    <col min="5383" max="5383" width="2.7109375" customWidth="1"/>
    <col min="5384" max="5385" width="12" bestFit="1" customWidth="1"/>
    <col min="5386" max="5386" width="2.7109375" customWidth="1"/>
    <col min="5387" max="5388" width="12" bestFit="1" customWidth="1"/>
    <col min="5389" max="5389" width="2.7109375" customWidth="1"/>
    <col min="5390" max="5391" width="12" bestFit="1" customWidth="1"/>
    <col min="5633" max="5633" width="37.42578125" customWidth="1"/>
    <col min="5634" max="5634" width="11.5703125" bestFit="1" customWidth="1"/>
    <col min="5635" max="5635" width="12.7109375" bestFit="1" customWidth="1"/>
    <col min="5636" max="5636" width="2.7109375" customWidth="1"/>
    <col min="5637" max="5637" width="13" bestFit="1" customWidth="1"/>
    <col min="5638" max="5638" width="12" bestFit="1" customWidth="1"/>
    <col min="5639" max="5639" width="2.7109375" customWidth="1"/>
    <col min="5640" max="5641" width="12" bestFit="1" customWidth="1"/>
    <col min="5642" max="5642" width="2.7109375" customWidth="1"/>
    <col min="5643" max="5644" width="12" bestFit="1" customWidth="1"/>
    <col min="5645" max="5645" width="2.7109375" customWidth="1"/>
    <col min="5646" max="5647" width="12" bestFit="1" customWidth="1"/>
    <col min="5889" max="5889" width="37.42578125" customWidth="1"/>
    <col min="5890" max="5890" width="11.5703125" bestFit="1" customWidth="1"/>
    <col min="5891" max="5891" width="12.7109375" bestFit="1" customWidth="1"/>
    <col min="5892" max="5892" width="2.7109375" customWidth="1"/>
    <col min="5893" max="5893" width="13" bestFit="1" customWidth="1"/>
    <col min="5894" max="5894" width="12" bestFit="1" customWidth="1"/>
    <col min="5895" max="5895" width="2.7109375" customWidth="1"/>
    <col min="5896" max="5897" width="12" bestFit="1" customWidth="1"/>
    <col min="5898" max="5898" width="2.7109375" customWidth="1"/>
    <col min="5899" max="5900" width="12" bestFit="1" customWidth="1"/>
    <col min="5901" max="5901" width="2.7109375" customWidth="1"/>
    <col min="5902" max="5903" width="12" bestFit="1" customWidth="1"/>
    <col min="6145" max="6145" width="37.42578125" customWidth="1"/>
    <col min="6146" max="6146" width="11.5703125" bestFit="1" customWidth="1"/>
    <col min="6147" max="6147" width="12.7109375" bestFit="1" customWidth="1"/>
    <col min="6148" max="6148" width="2.7109375" customWidth="1"/>
    <col min="6149" max="6149" width="13" bestFit="1" customWidth="1"/>
    <col min="6150" max="6150" width="12" bestFit="1" customWidth="1"/>
    <col min="6151" max="6151" width="2.7109375" customWidth="1"/>
    <col min="6152" max="6153" width="12" bestFit="1" customWidth="1"/>
    <col min="6154" max="6154" width="2.7109375" customWidth="1"/>
    <col min="6155" max="6156" width="12" bestFit="1" customWidth="1"/>
    <col min="6157" max="6157" width="2.7109375" customWidth="1"/>
    <col min="6158" max="6159" width="12" bestFit="1" customWidth="1"/>
    <col min="6401" max="6401" width="37.42578125" customWidth="1"/>
    <col min="6402" max="6402" width="11.5703125" bestFit="1" customWidth="1"/>
    <col min="6403" max="6403" width="12.7109375" bestFit="1" customWidth="1"/>
    <col min="6404" max="6404" width="2.7109375" customWidth="1"/>
    <col min="6405" max="6405" width="13" bestFit="1" customWidth="1"/>
    <col min="6406" max="6406" width="12" bestFit="1" customWidth="1"/>
    <col min="6407" max="6407" width="2.7109375" customWidth="1"/>
    <col min="6408" max="6409" width="12" bestFit="1" customWidth="1"/>
    <col min="6410" max="6410" width="2.7109375" customWidth="1"/>
    <col min="6411" max="6412" width="12" bestFit="1" customWidth="1"/>
    <col min="6413" max="6413" width="2.7109375" customWidth="1"/>
    <col min="6414" max="6415" width="12" bestFit="1" customWidth="1"/>
    <col min="6657" max="6657" width="37.42578125" customWidth="1"/>
    <col min="6658" max="6658" width="11.5703125" bestFit="1" customWidth="1"/>
    <col min="6659" max="6659" width="12.7109375" bestFit="1" customWidth="1"/>
    <col min="6660" max="6660" width="2.7109375" customWidth="1"/>
    <col min="6661" max="6661" width="13" bestFit="1" customWidth="1"/>
    <col min="6662" max="6662" width="12" bestFit="1" customWidth="1"/>
    <col min="6663" max="6663" width="2.7109375" customWidth="1"/>
    <col min="6664" max="6665" width="12" bestFit="1" customWidth="1"/>
    <col min="6666" max="6666" width="2.7109375" customWidth="1"/>
    <col min="6667" max="6668" width="12" bestFit="1" customWidth="1"/>
    <col min="6669" max="6669" width="2.7109375" customWidth="1"/>
    <col min="6670" max="6671" width="12" bestFit="1" customWidth="1"/>
    <col min="6913" max="6913" width="37.42578125" customWidth="1"/>
    <col min="6914" max="6914" width="11.5703125" bestFit="1" customWidth="1"/>
    <col min="6915" max="6915" width="12.7109375" bestFit="1" customWidth="1"/>
    <col min="6916" max="6916" width="2.7109375" customWidth="1"/>
    <col min="6917" max="6917" width="13" bestFit="1" customWidth="1"/>
    <col min="6918" max="6918" width="12" bestFit="1" customWidth="1"/>
    <col min="6919" max="6919" width="2.7109375" customWidth="1"/>
    <col min="6920" max="6921" width="12" bestFit="1" customWidth="1"/>
    <col min="6922" max="6922" width="2.7109375" customWidth="1"/>
    <col min="6923" max="6924" width="12" bestFit="1" customWidth="1"/>
    <col min="6925" max="6925" width="2.7109375" customWidth="1"/>
    <col min="6926" max="6927" width="12" bestFit="1" customWidth="1"/>
    <col min="7169" max="7169" width="37.42578125" customWidth="1"/>
    <col min="7170" max="7170" width="11.5703125" bestFit="1" customWidth="1"/>
    <col min="7171" max="7171" width="12.7109375" bestFit="1" customWidth="1"/>
    <col min="7172" max="7172" width="2.7109375" customWidth="1"/>
    <col min="7173" max="7173" width="13" bestFit="1" customWidth="1"/>
    <col min="7174" max="7174" width="12" bestFit="1" customWidth="1"/>
    <col min="7175" max="7175" width="2.7109375" customWidth="1"/>
    <col min="7176" max="7177" width="12" bestFit="1" customWidth="1"/>
    <col min="7178" max="7178" width="2.7109375" customWidth="1"/>
    <col min="7179" max="7180" width="12" bestFit="1" customWidth="1"/>
    <col min="7181" max="7181" width="2.7109375" customWidth="1"/>
    <col min="7182" max="7183" width="12" bestFit="1" customWidth="1"/>
    <col min="7425" max="7425" width="37.42578125" customWidth="1"/>
    <col min="7426" max="7426" width="11.5703125" bestFit="1" customWidth="1"/>
    <col min="7427" max="7427" width="12.7109375" bestFit="1" customWidth="1"/>
    <col min="7428" max="7428" width="2.7109375" customWidth="1"/>
    <col min="7429" max="7429" width="13" bestFit="1" customWidth="1"/>
    <col min="7430" max="7430" width="12" bestFit="1" customWidth="1"/>
    <col min="7431" max="7431" width="2.7109375" customWidth="1"/>
    <col min="7432" max="7433" width="12" bestFit="1" customWidth="1"/>
    <col min="7434" max="7434" width="2.7109375" customWidth="1"/>
    <col min="7435" max="7436" width="12" bestFit="1" customWidth="1"/>
    <col min="7437" max="7437" width="2.7109375" customWidth="1"/>
    <col min="7438" max="7439" width="12" bestFit="1" customWidth="1"/>
    <col min="7681" max="7681" width="37.42578125" customWidth="1"/>
    <col min="7682" max="7682" width="11.5703125" bestFit="1" customWidth="1"/>
    <col min="7683" max="7683" width="12.7109375" bestFit="1" customWidth="1"/>
    <col min="7684" max="7684" width="2.7109375" customWidth="1"/>
    <col min="7685" max="7685" width="13" bestFit="1" customWidth="1"/>
    <col min="7686" max="7686" width="12" bestFit="1" customWidth="1"/>
    <col min="7687" max="7687" width="2.7109375" customWidth="1"/>
    <col min="7688" max="7689" width="12" bestFit="1" customWidth="1"/>
    <col min="7690" max="7690" width="2.7109375" customWidth="1"/>
    <col min="7691" max="7692" width="12" bestFit="1" customWidth="1"/>
    <col min="7693" max="7693" width="2.7109375" customWidth="1"/>
    <col min="7694" max="7695" width="12" bestFit="1" customWidth="1"/>
    <col min="7937" max="7937" width="37.42578125" customWidth="1"/>
    <col min="7938" max="7938" width="11.5703125" bestFit="1" customWidth="1"/>
    <col min="7939" max="7939" width="12.7109375" bestFit="1" customWidth="1"/>
    <col min="7940" max="7940" width="2.7109375" customWidth="1"/>
    <col min="7941" max="7941" width="13" bestFit="1" customWidth="1"/>
    <col min="7942" max="7942" width="12" bestFit="1" customWidth="1"/>
    <col min="7943" max="7943" width="2.7109375" customWidth="1"/>
    <col min="7944" max="7945" width="12" bestFit="1" customWidth="1"/>
    <col min="7946" max="7946" width="2.7109375" customWidth="1"/>
    <col min="7947" max="7948" width="12" bestFit="1" customWidth="1"/>
    <col min="7949" max="7949" width="2.7109375" customWidth="1"/>
    <col min="7950" max="7951" width="12" bestFit="1" customWidth="1"/>
    <col min="8193" max="8193" width="37.42578125" customWidth="1"/>
    <col min="8194" max="8194" width="11.5703125" bestFit="1" customWidth="1"/>
    <col min="8195" max="8195" width="12.7109375" bestFit="1" customWidth="1"/>
    <col min="8196" max="8196" width="2.7109375" customWidth="1"/>
    <col min="8197" max="8197" width="13" bestFit="1" customWidth="1"/>
    <col min="8198" max="8198" width="12" bestFit="1" customWidth="1"/>
    <col min="8199" max="8199" width="2.7109375" customWidth="1"/>
    <col min="8200" max="8201" width="12" bestFit="1" customWidth="1"/>
    <col min="8202" max="8202" width="2.7109375" customWidth="1"/>
    <col min="8203" max="8204" width="12" bestFit="1" customWidth="1"/>
    <col min="8205" max="8205" width="2.7109375" customWidth="1"/>
    <col min="8206" max="8207" width="12" bestFit="1" customWidth="1"/>
    <col min="8449" max="8449" width="37.42578125" customWidth="1"/>
    <col min="8450" max="8450" width="11.5703125" bestFit="1" customWidth="1"/>
    <col min="8451" max="8451" width="12.7109375" bestFit="1" customWidth="1"/>
    <col min="8452" max="8452" width="2.7109375" customWidth="1"/>
    <col min="8453" max="8453" width="13" bestFit="1" customWidth="1"/>
    <col min="8454" max="8454" width="12" bestFit="1" customWidth="1"/>
    <col min="8455" max="8455" width="2.7109375" customWidth="1"/>
    <col min="8456" max="8457" width="12" bestFit="1" customWidth="1"/>
    <col min="8458" max="8458" width="2.7109375" customWidth="1"/>
    <col min="8459" max="8460" width="12" bestFit="1" customWidth="1"/>
    <col min="8461" max="8461" width="2.7109375" customWidth="1"/>
    <col min="8462" max="8463" width="12" bestFit="1" customWidth="1"/>
    <col min="8705" max="8705" width="37.42578125" customWidth="1"/>
    <col min="8706" max="8706" width="11.5703125" bestFit="1" customWidth="1"/>
    <col min="8707" max="8707" width="12.7109375" bestFit="1" customWidth="1"/>
    <col min="8708" max="8708" width="2.7109375" customWidth="1"/>
    <col min="8709" max="8709" width="13" bestFit="1" customWidth="1"/>
    <col min="8710" max="8710" width="12" bestFit="1" customWidth="1"/>
    <col min="8711" max="8711" width="2.7109375" customWidth="1"/>
    <col min="8712" max="8713" width="12" bestFit="1" customWidth="1"/>
    <col min="8714" max="8714" width="2.7109375" customWidth="1"/>
    <col min="8715" max="8716" width="12" bestFit="1" customWidth="1"/>
    <col min="8717" max="8717" width="2.7109375" customWidth="1"/>
    <col min="8718" max="8719" width="12" bestFit="1" customWidth="1"/>
    <col min="8961" max="8961" width="37.42578125" customWidth="1"/>
    <col min="8962" max="8962" width="11.5703125" bestFit="1" customWidth="1"/>
    <col min="8963" max="8963" width="12.7109375" bestFit="1" customWidth="1"/>
    <col min="8964" max="8964" width="2.7109375" customWidth="1"/>
    <col min="8965" max="8965" width="13" bestFit="1" customWidth="1"/>
    <col min="8966" max="8966" width="12" bestFit="1" customWidth="1"/>
    <col min="8967" max="8967" width="2.7109375" customWidth="1"/>
    <col min="8968" max="8969" width="12" bestFit="1" customWidth="1"/>
    <col min="8970" max="8970" width="2.7109375" customWidth="1"/>
    <col min="8971" max="8972" width="12" bestFit="1" customWidth="1"/>
    <col min="8973" max="8973" width="2.7109375" customWidth="1"/>
    <col min="8974" max="8975" width="12" bestFit="1" customWidth="1"/>
    <col min="9217" max="9217" width="37.42578125" customWidth="1"/>
    <col min="9218" max="9218" width="11.5703125" bestFit="1" customWidth="1"/>
    <col min="9219" max="9219" width="12.7109375" bestFit="1" customWidth="1"/>
    <col min="9220" max="9220" width="2.7109375" customWidth="1"/>
    <col min="9221" max="9221" width="13" bestFit="1" customWidth="1"/>
    <col min="9222" max="9222" width="12" bestFit="1" customWidth="1"/>
    <col min="9223" max="9223" width="2.7109375" customWidth="1"/>
    <col min="9224" max="9225" width="12" bestFit="1" customWidth="1"/>
    <col min="9226" max="9226" width="2.7109375" customWidth="1"/>
    <col min="9227" max="9228" width="12" bestFit="1" customWidth="1"/>
    <col min="9229" max="9229" width="2.7109375" customWidth="1"/>
    <col min="9230" max="9231" width="12" bestFit="1" customWidth="1"/>
    <col min="9473" max="9473" width="37.42578125" customWidth="1"/>
    <col min="9474" max="9474" width="11.5703125" bestFit="1" customWidth="1"/>
    <col min="9475" max="9475" width="12.7109375" bestFit="1" customWidth="1"/>
    <col min="9476" max="9476" width="2.7109375" customWidth="1"/>
    <col min="9477" max="9477" width="13" bestFit="1" customWidth="1"/>
    <col min="9478" max="9478" width="12" bestFit="1" customWidth="1"/>
    <col min="9479" max="9479" width="2.7109375" customWidth="1"/>
    <col min="9480" max="9481" width="12" bestFit="1" customWidth="1"/>
    <col min="9482" max="9482" width="2.7109375" customWidth="1"/>
    <col min="9483" max="9484" width="12" bestFit="1" customWidth="1"/>
    <col min="9485" max="9485" width="2.7109375" customWidth="1"/>
    <col min="9486" max="9487" width="12" bestFit="1" customWidth="1"/>
    <col min="9729" max="9729" width="37.42578125" customWidth="1"/>
    <col min="9730" max="9730" width="11.5703125" bestFit="1" customWidth="1"/>
    <col min="9731" max="9731" width="12.7109375" bestFit="1" customWidth="1"/>
    <col min="9732" max="9732" width="2.7109375" customWidth="1"/>
    <col min="9733" max="9733" width="13" bestFit="1" customWidth="1"/>
    <col min="9734" max="9734" width="12" bestFit="1" customWidth="1"/>
    <col min="9735" max="9735" width="2.7109375" customWidth="1"/>
    <col min="9736" max="9737" width="12" bestFit="1" customWidth="1"/>
    <col min="9738" max="9738" width="2.7109375" customWidth="1"/>
    <col min="9739" max="9740" width="12" bestFit="1" customWidth="1"/>
    <col min="9741" max="9741" width="2.7109375" customWidth="1"/>
    <col min="9742" max="9743" width="12" bestFit="1" customWidth="1"/>
    <col min="9985" max="9985" width="37.42578125" customWidth="1"/>
    <col min="9986" max="9986" width="11.5703125" bestFit="1" customWidth="1"/>
    <col min="9987" max="9987" width="12.7109375" bestFit="1" customWidth="1"/>
    <col min="9988" max="9988" width="2.7109375" customWidth="1"/>
    <col min="9989" max="9989" width="13" bestFit="1" customWidth="1"/>
    <col min="9990" max="9990" width="12" bestFit="1" customWidth="1"/>
    <col min="9991" max="9991" width="2.7109375" customWidth="1"/>
    <col min="9992" max="9993" width="12" bestFit="1" customWidth="1"/>
    <col min="9994" max="9994" width="2.7109375" customWidth="1"/>
    <col min="9995" max="9996" width="12" bestFit="1" customWidth="1"/>
    <col min="9997" max="9997" width="2.7109375" customWidth="1"/>
    <col min="9998" max="9999" width="12" bestFit="1" customWidth="1"/>
    <col min="10241" max="10241" width="37.42578125" customWidth="1"/>
    <col min="10242" max="10242" width="11.5703125" bestFit="1" customWidth="1"/>
    <col min="10243" max="10243" width="12.7109375" bestFit="1" customWidth="1"/>
    <col min="10244" max="10244" width="2.7109375" customWidth="1"/>
    <col min="10245" max="10245" width="13" bestFit="1" customWidth="1"/>
    <col min="10246" max="10246" width="12" bestFit="1" customWidth="1"/>
    <col min="10247" max="10247" width="2.7109375" customWidth="1"/>
    <col min="10248" max="10249" width="12" bestFit="1" customWidth="1"/>
    <col min="10250" max="10250" width="2.7109375" customWidth="1"/>
    <col min="10251" max="10252" width="12" bestFit="1" customWidth="1"/>
    <col min="10253" max="10253" width="2.7109375" customWidth="1"/>
    <col min="10254" max="10255" width="12" bestFit="1" customWidth="1"/>
    <col min="10497" max="10497" width="37.42578125" customWidth="1"/>
    <col min="10498" max="10498" width="11.5703125" bestFit="1" customWidth="1"/>
    <col min="10499" max="10499" width="12.7109375" bestFit="1" customWidth="1"/>
    <col min="10500" max="10500" width="2.7109375" customWidth="1"/>
    <col min="10501" max="10501" width="13" bestFit="1" customWidth="1"/>
    <col min="10502" max="10502" width="12" bestFit="1" customWidth="1"/>
    <col min="10503" max="10503" width="2.7109375" customWidth="1"/>
    <col min="10504" max="10505" width="12" bestFit="1" customWidth="1"/>
    <col min="10506" max="10506" width="2.7109375" customWidth="1"/>
    <col min="10507" max="10508" width="12" bestFit="1" customWidth="1"/>
    <col min="10509" max="10509" width="2.7109375" customWidth="1"/>
    <col min="10510" max="10511" width="12" bestFit="1" customWidth="1"/>
    <col min="10753" max="10753" width="37.42578125" customWidth="1"/>
    <col min="10754" max="10754" width="11.5703125" bestFit="1" customWidth="1"/>
    <col min="10755" max="10755" width="12.7109375" bestFit="1" customWidth="1"/>
    <col min="10756" max="10756" width="2.7109375" customWidth="1"/>
    <col min="10757" max="10757" width="13" bestFit="1" customWidth="1"/>
    <col min="10758" max="10758" width="12" bestFit="1" customWidth="1"/>
    <col min="10759" max="10759" width="2.7109375" customWidth="1"/>
    <col min="10760" max="10761" width="12" bestFit="1" customWidth="1"/>
    <col min="10762" max="10762" width="2.7109375" customWidth="1"/>
    <col min="10763" max="10764" width="12" bestFit="1" customWidth="1"/>
    <col min="10765" max="10765" width="2.7109375" customWidth="1"/>
    <col min="10766" max="10767" width="12" bestFit="1" customWidth="1"/>
    <col min="11009" max="11009" width="37.42578125" customWidth="1"/>
    <col min="11010" max="11010" width="11.5703125" bestFit="1" customWidth="1"/>
    <col min="11011" max="11011" width="12.7109375" bestFit="1" customWidth="1"/>
    <col min="11012" max="11012" width="2.7109375" customWidth="1"/>
    <col min="11013" max="11013" width="13" bestFit="1" customWidth="1"/>
    <col min="11014" max="11014" width="12" bestFit="1" customWidth="1"/>
    <col min="11015" max="11015" width="2.7109375" customWidth="1"/>
    <col min="11016" max="11017" width="12" bestFit="1" customWidth="1"/>
    <col min="11018" max="11018" width="2.7109375" customWidth="1"/>
    <col min="11019" max="11020" width="12" bestFit="1" customWidth="1"/>
    <col min="11021" max="11021" width="2.7109375" customWidth="1"/>
    <col min="11022" max="11023" width="12" bestFit="1" customWidth="1"/>
    <col min="11265" max="11265" width="37.42578125" customWidth="1"/>
    <col min="11266" max="11266" width="11.5703125" bestFit="1" customWidth="1"/>
    <col min="11267" max="11267" width="12.7109375" bestFit="1" customWidth="1"/>
    <col min="11268" max="11268" width="2.7109375" customWidth="1"/>
    <col min="11269" max="11269" width="13" bestFit="1" customWidth="1"/>
    <col min="11270" max="11270" width="12" bestFit="1" customWidth="1"/>
    <col min="11271" max="11271" width="2.7109375" customWidth="1"/>
    <col min="11272" max="11273" width="12" bestFit="1" customWidth="1"/>
    <col min="11274" max="11274" width="2.7109375" customWidth="1"/>
    <col min="11275" max="11276" width="12" bestFit="1" customWidth="1"/>
    <col min="11277" max="11277" width="2.7109375" customWidth="1"/>
    <col min="11278" max="11279" width="12" bestFit="1" customWidth="1"/>
    <col min="11521" max="11521" width="37.42578125" customWidth="1"/>
    <col min="11522" max="11522" width="11.5703125" bestFit="1" customWidth="1"/>
    <col min="11523" max="11523" width="12.7109375" bestFit="1" customWidth="1"/>
    <col min="11524" max="11524" width="2.7109375" customWidth="1"/>
    <col min="11525" max="11525" width="13" bestFit="1" customWidth="1"/>
    <col min="11526" max="11526" width="12" bestFit="1" customWidth="1"/>
    <col min="11527" max="11527" width="2.7109375" customWidth="1"/>
    <col min="11528" max="11529" width="12" bestFit="1" customWidth="1"/>
    <col min="11530" max="11530" width="2.7109375" customWidth="1"/>
    <col min="11531" max="11532" width="12" bestFit="1" customWidth="1"/>
    <col min="11533" max="11533" width="2.7109375" customWidth="1"/>
    <col min="11534" max="11535" width="12" bestFit="1" customWidth="1"/>
    <col min="11777" max="11777" width="37.42578125" customWidth="1"/>
    <col min="11778" max="11778" width="11.5703125" bestFit="1" customWidth="1"/>
    <col min="11779" max="11779" width="12.7109375" bestFit="1" customWidth="1"/>
    <col min="11780" max="11780" width="2.7109375" customWidth="1"/>
    <col min="11781" max="11781" width="13" bestFit="1" customWidth="1"/>
    <col min="11782" max="11782" width="12" bestFit="1" customWidth="1"/>
    <col min="11783" max="11783" width="2.7109375" customWidth="1"/>
    <col min="11784" max="11785" width="12" bestFit="1" customWidth="1"/>
    <col min="11786" max="11786" width="2.7109375" customWidth="1"/>
    <col min="11787" max="11788" width="12" bestFit="1" customWidth="1"/>
    <col min="11789" max="11789" width="2.7109375" customWidth="1"/>
    <col min="11790" max="11791" width="12" bestFit="1" customWidth="1"/>
    <col min="12033" max="12033" width="37.42578125" customWidth="1"/>
    <col min="12034" max="12034" width="11.5703125" bestFit="1" customWidth="1"/>
    <col min="12035" max="12035" width="12.7109375" bestFit="1" customWidth="1"/>
    <col min="12036" max="12036" width="2.7109375" customWidth="1"/>
    <col min="12037" max="12037" width="13" bestFit="1" customWidth="1"/>
    <col min="12038" max="12038" width="12" bestFit="1" customWidth="1"/>
    <col min="12039" max="12039" width="2.7109375" customWidth="1"/>
    <col min="12040" max="12041" width="12" bestFit="1" customWidth="1"/>
    <col min="12042" max="12042" width="2.7109375" customWidth="1"/>
    <col min="12043" max="12044" width="12" bestFit="1" customWidth="1"/>
    <col min="12045" max="12045" width="2.7109375" customWidth="1"/>
    <col min="12046" max="12047" width="12" bestFit="1" customWidth="1"/>
    <col min="12289" max="12289" width="37.42578125" customWidth="1"/>
    <col min="12290" max="12290" width="11.5703125" bestFit="1" customWidth="1"/>
    <col min="12291" max="12291" width="12.7109375" bestFit="1" customWidth="1"/>
    <col min="12292" max="12292" width="2.7109375" customWidth="1"/>
    <col min="12293" max="12293" width="13" bestFit="1" customWidth="1"/>
    <col min="12294" max="12294" width="12" bestFit="1" customWidth="1"/>
    <col min="12295" max="12295" width="2.7109375" customWidth="1"/>
    <col min="12296" max="12297" width="12" bestFit="1" customWidth="1"/>
    <col min="12298" max="12298" width="2.7109375" customWidth="1"/>
    <col min="12299" max="12300" width="12" bestFit="1" customWidth="1"/>
    <col min="12301" max="12301" width="2.7109375" customWidth="1"/>
    <col min="12302" max="12303" width="12" bestFit="1" customWidth="1"/>
    <col min="12545" max="12545" width="37.42578125" customWidth="1"/>
    <col min="12546" max="12546" width="11.5703125" bestFit="1" customWidth="1"/>
    <col min="12547" max="12547" width="12.7109375" bestFit="1" customWidth="1"/>
    <col min="12548" max="12548" width="2.7109375" customWidth="1"/>
    <col min="12549" max="12549" width="13" bestFit="1" customWidth="1"/>
    <col min="12550" max="12550" width="12" bestFit="1" customWidth="1"/>
    <col min="12551" max="12551" width="2.7109375" customWidth="1"/>
    <col min="12552" max="12553" width="12" bestFit="1" customWidth="1"/>
    <col min="12554" max="12554" width="2.7109375" customWidth="1"/>
    <col min="12555" max="12556" width="12" bestFit="1" customWidth="1"/>
    <col min="12557" max="12557" width="2.7109375" customWidth="1"/>
    <col min="12558" max="12559" width="12" bestFit="1" customWidth="1"/>
    <col min="12801" max="12801" width="37.42578125" customWidth="1"/>
    <col min="12802" max="12802" width="11.5703125" bestFit="1" customWidth="1"/>
    <col min="12803" max="12803" width="12.7109375" bestFit="1" customWidth="1"/>
    <col min="12804" max="12804" width="2.7109375" customWidth="1"/>
    <col min="12805" max="12805" width="13" bestFit="1" customWidth="1"/>
    <col min="12806" max="12806" width="12" bestFit="1" customWidth="1"/>
    <col min="12807" max="12807" width="2.7109375" customWidth="1"/>
    <col min="12808" max="12809" width="12" bestFit="1" customWidth="1"/>
    <col min="12810" max="12810" width="2.7109375" customWidth="1"/>
    <col min="12811" max="12812" width="12" bestFit="1" customWidth="1"/>
    <col min="12813" max="12813" width="2.7109375" customWidth="1"/>
    <col min="12814" max="12815" width="12" bestFit="1" customWidth="1"/>
    <col min="13057" max="13057" width="37.42578125" customWidth="1"/>
    <col min="13058" max="13058" width="11.5703125" bestFit="1" customWidth="1"/>
    <col min="13059" max="13059" width="12.7109375" bestFit="1" customWidth="1"/>
    <col min="13060" max="13060" width="2.7109375" customWidth="1"/>
    <col min="13061" max="13061" width="13" bestFit="1" customWidth="1"/>
    <col min="13062" max="13062" width="12" bestFit="1" customWidth="1"/>
    <col min="13063" max="13063" width="2.7109375" customWidth="1"/>
    <col min="13064" max="13065" width="12" bestFit="1" customWidth="1"/>
    <col min="13066" max="13066" width="2.7109375" customWidth="1"/>
    <col min="13067" max="13068" width="12" bestFit="1" customWidth="1"/>
    <col min="13069" max="13069" width="2.7109375" customWidth="1"/>
    <col min="13070" max="13071" width="12" bestFit="1" customWidth="1"/>
    <col min="13313" max="13313" width="37.42578125" customWidth="1"/>
    <col min="13314" max="13314" width="11.5703125" bestFit="1" customWidth="1"/>
    <col min="13315" max="13315" width="12.7109375" bestFit="1" customWidth="1"/>
    <col min="13316" max="13316" width="2.7109375" customWidth="1"/>
    <col min="13317" max="13317" width="13" bestFit="1" customWidth="1"/>
    <col min="13318" max="13318" width="12" bestFit="1" customWidth="1"/>
    <col min="13319" max="13319" width="2.7109375" customWidth="1"/>
    <col min="13320" max="13321" width="12" bestFit="1" customWidth="1"/>
    <col min="13322" max="13322" width="2.7109375" customWidth="1"/>
    <col min="13323" max="13324" width="12" bestFit="1" customWidth="1"/>
    <col min="13325" max="13325" width="2.7109375" customWidth="1"/>
    <col min="13326" max="13327" width="12" bestFit="1" customWidth="1"/>
    <col min="13569" max="13569" width="37.42578125" customWidth="1"/>
    <col min="13570" max="13570" width="11.5703125" bestFit="1" customWidth="1"/>
    <col min="13571" max="13571" width="12.7109375" bestFit="1" customWidth="1"/>
    <col min="13572" max="13572" width="2.7109375" customWidth="1"/>
    <col min="13573" max="13573" width="13" bestFit="1" customWidth="1"/>
    <col min="13574" max="13574" width="12" bestFit="1" customWidth="1"/>
    <col min="13575" max="13575" width="2.7109375" customWidth="1"/>
    <col min="13576" max="13577" width="12" bestFit="1" customWidth="1"/>
    <col min="13578" max="13578" width="2.7109375" customWidth="1"/>
    <col min="13579" max="13580" width="12" bestFit="1" customWidth="1"/>
    <col min="13581" max="13581" width="2.7109375" customWidth="1"/>
    <col min="13582" max="13583" width="12" bestFit="1" customWidth="1"/>
    <col min="13825" max="13825" width="37.42578125" customWidth="1"/>
    <col min="13826" max="13826" width="11.5703125" bestFit="1" customWidth="1"/>
    <col min="13827" max="13827" width="12.7109375" bestFit="1" customWidth="1"/>
    <col min="13828" max="13828" width="2.7109375" customWidth="1"/>
    <col min="13829" max="13829" width="13" bestFit="1" customWidth="1"/>
    <col min="13830" max="13830" width="12" bestFit="1" customWidth="1"/>
    <col min="13831" max="13831" width="2.7109375" customWidth="1"/>
    <col min="13832" max="13833" width="12" bestFit="1" customWidth="1"/>
    <col min="13834" max="13834" width="2.7109375" customWidth="1"/>
    <col min="13835" max="13836" width="12" bestFit="1" customWidth="1"/>
    <col min="13837" max="13837" width="2.7109375" customWidth="1"/>
    <col min="13838" max="13839" width="12" bestFit="1" customWidth="1"/>
    <col min="14081" max="14081" width="37.42578125" customWidth="1"/>
    <col min="14082" max="14082" width="11.5703125" bestFit="1" customWidth="1"/>
    <col min="14083" max="14083" width="12.7109375" bestFit="1" customWidth="1"/>
    <col min="14084" max="14084" width="2.7109375" customWidth="1"/>
    <col min="14085" max="14085" width="13" bestFit="1" customWidth="1"/>
    <col min="14086" max="14086" width="12" bestFit="1" customWidth="1"/>
    <col min="14087" max="14087" width="2.7109375" customWidth="1"/>
    <col min="14088" max="14089" width="12" bestFit="1" customWidth="1"/>
    <col min="14090" max="14090" width="2.7109375" customWidth="1"/>
    <col min="14091" max="14092" width="12" bestFit="1" customWidth="1"/>
    <col min="14093" max="14093" width="2.7109375" customWidth="1"/>
    <col min="14094" max="14095" width="12" bestFit="1" customWidth="1"/>
    <col min="14337" max="14337" width="37.42578125" customWidth="1"/>
    <col min="14338" max="14338" width="11.5703125" bestFit="1" customWidth="1"/>
    <col min="14339" max="14339" width="12.7109375" bestFit="1" customWidth="1"/>
    <col min="14340" max="14340" width="2.7109375" customWidth="1"/>
    <col min="14341" max="14341" width="13" bestFit="1" customWidth="1"/>
    <col min="14342" max="14342" width="12" bestFit="1" customWidth="1"/>
    <col min="14343" max="14343" width="2.7109375" customWidth="1"/>
    <col min="14344" max="14345" width="12" bestFit="1" customWidth="1"/>
    <col min="14346" max="14346" width="2.7109375" customWidth="1"/>
    <col min="14347" max="14348" width="12" bestFit="1" customWidth="1"/>
    <col min="14349" max="14349" width="2.7109375" customWidth="1"/>
    <col min="14350" max="14351" width="12" bestFit="1" customWidth="1"/>
    <col min="14593" max="14593" width="37.42578125" customWidth="1"/>
    <col min="14594" max="14594" width="11.5703125" bestFit="1" customWidth="1"/>
    <col min="14595" max="14595" width="12.7109375" bestFit="1" customWidth="1"/>
    <col min="14596" max="14596" width="2.7109375" customWidth="1"/>
    <col min="14597" max="14597" width="13" bestFit="1" customWidth="1"/>
    <col min="14598" max="14598" width="12" bestFit="1" customWidth="1"/>
    <col min="14599" max="14599" width="2.7109375" customWidth="1"/>
    <col min="14600" max="14601" width="12" bestFit="1" customWidth="1"/>
    <col min="14602" max="14602" width="2.7109375" customWidth="1"/>
    <col min="14603" max="14604" width="12" bestFit="1" customWidth="1"/>
    <col min="14605" max="14605" width="2.7109375" customWidth="1"/>
    <col min="14606" max="14607" width="12" bestFit="1" customWidth="1"/>
    <col min="14849" max="14849" width="37.42578125" customWidth="1"/>
    <col min="14850" max="14850" width="11.5703125" bestFit="1" customWidth="1"/>
    <col min="14851" max="14851" width="12.7109375" bestFit="1" customWidth="1"/>
    <col min="14852" max="14852" width="2.7109375" customWidth="1"/>
    <col min="14853" max="14853" width="13" bestFit="1" customWidth="1"/>
    <col min="14854" max="14854" width="12" bestFit="1" customWidth="1"/>
    <col min="14855" max="14855" width="2.7109375" customWidth="1"/>
    <col min="14856" max="14857" width="12" bestFit="1" customWidth="1"/>
    <col min="14858" max="14858" width="2.7109375" customWidth="1"/>
    <col min="14859" max="14860" width="12" bestFit="1" customWidth="1"/>
    <col min="14861" max="14861" width="2.7109375" customWidth="1"/>
    <col min="14862" max="14863" width="12" bestFit="1" customWidth="1"/>
    <col min="15105" max="15105" width="37.42578125" customWidth="1"/>
    <col min="15106" max="15106" width="11.5703125" bestFit="1" customWidth="1"/>
    <col min="15107" max="15107" width="12.7109375" bestFit="1" customWidth="1"/>
    <col min="15108" max="15108" width="2.7109375" customWidth="1"/>
    <col min="15109" max="15109" width="13" bestFit="1" customWidth="1"/>
    <col min="15110" max="15110" width="12" bestFit="1" customWidth="1"/>
    <col min="15111" max="15111" width="2.7109375" customWidth="1"/>
    <col min="15112" max="15113" width="12" bestFit="1" customWidth="1"/>
    <col min="15114" max="15114" width="2.7109375" customWidth="1"/>
    <col min="15115" max="15116" width="12" bestFit="1" customWidth="1"/>
    <col min="15117" max="15117" width="2.7109375" customWidth="1"/>
    <col min="15118" max="15119" width="12" bestFit="1" customWidth="1"/>
    <col min="15361" max="15361" width="37.42578125" customWidth="1"/>
    <col min="15362" max="15362" width="11.5703125" bestFit="1" customWidth="1"/>
    <col min="15363" max="15363" width="12.7109375" bestFit="1" customWidth="1"/>
    <col min="15364" max="15364" width="2.7109375" customWidth="1"/>
    <col min="15365" max="15365" width="13" bestFit="1" customWidth="1"/>
    <col min="15366" max="15366" width="12" bestFit="1" customWidth="1"/>
    <col min="15367" max="15367" width="2.7109375" customWidth="1"/>
    <col min="15368" max="15369" width="12" bestFit="1" customWidth="1"/>
    <col min="15370" max="15370" width="2.7109375" customWidth="1"/>
    <col min="15371" max="15372" width="12" bestFit="1" customWidth="1"/>
    <col min="15373" max="15373" width="2.7109375" customWidth="1"/>
    <col min="15374" max="15375" width="12" bestFit="1" customWidth="1"/>
    <col min="15617" max="15617" width="37.42578125" customWidth="1"/>
    <col min="15618" max="15618" width="11.5703125" bestFit="1" customWidth="1"/>
    <col min="15619" max="15619" width="12.7109375" bestFit="1" customWidth="1"/>
    <col min="15620" max="15620" width="2.7109375" customWidth="1"/>
    <col min="15621" max="15621" width="13" bestFit="1" customWidth="1"/>
    <col min="15622" max="15622" width="12" bestFit="1" customWidth="1"/>
    <col min="15623" max="15623" width="2.7109375" customWidth="1"/>
    <col min="15624" max="15625" width="12" bestFit="1" customWidth="1"/>
    <col min="15626" max="15626" width="2.7109375" customWidth="1"/>
    <col min="15627" max="15628" width="12" bestFit="1" customWidth="1"/>
    <col min="15629" max="15629" width="2.7109375" customWidth="1"/>
    <col min="15630" max="15631" width="12" bestFit="1" customWidth="1"/>
    <col min="15873" max="15873" width="37.42578125" customWidth="1"/>
    <col min="15874" max="15874" width="11.5703125" bestFit="1" customWidth="1"/>
    <col min="15875" max="15875" width="12.7109375" bestFit="1" customWidth="1"/>
    <col min="15876" max="15876" width="2.7109375" customWidth="1"/>
    <col min="15877" max="15877" width="13" bestFit="1" customWidth="1"/>
    <col min="15878" max="15878" width="12" bestFit="1" customWidth="1"/>
    <col min="15879" max="15879" width="2.7109375" customWidth="1"/>
    <col min="15880" max="15881" width="12" bestFit="1" customWidth="1"/>
    <col min="15882" max="15882" width="2.7109375" customWidth="1"/>
    <col min="15883" max="15884" width="12" bestFit="1" customWidth="1"/>
    <col min="15885" max="15885" width="2.7109375" customWidth="1"/>
    <col min="15886" max="15887" width="12" bestFit="1" customWidth="1"/>
    <col min="16129" max="16129" width="37.42578125" customWidth="1"/>
    <col min="16130" max="16130" width="11.5703125" bestFit="1" customWidth="1"/>
    <col min="16131" max="16131" width="12.7109375" bestFit="1" customWidth="1"/>
    <col min="16132" max="16132" width="2.7109375" customWidth="1"/>
    <col min="16133" max="16133" width="13" bestFit="1" customWidth="1"/>
    <col min="16134" max="16134" width="12" bestFit="1" customWidth="1"/>
    <col min="16135" max="16135" width="2.7109375" customWidth="1"/>
    <col min="16136" max="16137" width="12" bestFit="1" customWidth="1"/>
    <col min="16138" max="16138" width="2.7109375" customWidth="1"/>
    <col min="16139" max="16140" width="12" bestFit="1" customWidth="1"/>
    <col min="16141" max="16141" width="2.7109375" customWidth="1"/>
    <col min="16142" max="16143" width="12" bestFit="1" customWidth="1"/>
  </cols>
  <sheetData>
    <row r="1" spans="1:15" ht="20.25" x14ac:dyDescent="0.25">
      <c r="A1" s="354" t="s">
        <v>445</v>
      </c>
      <c r="B1" s="354"/>
      <c r="C1" s="354"/>
      <c r="D1" s="354"/>
      <c r="E1" s="354"/>
      <c r="F1" s="354"/>
      <c r="G1" s="354"/>
      <c r="H1" s="354"/>
      <c r="I1" s="354"/>
      <c r="J1" s="354"/>
      <c r="K1" s="354"/>
      <c r="L1" s="354"/>
      <c r="M1" s="354"/>
      <c r="N1" s="354"/>
      <c r="O1" s="354"/>
    </row>
    <row r="2" spans="1:15" s="358" customFormat="1" ht="15.75" x14ac:dyDescent="0.25">
      <c r="A2" s="355"/>
      <c r="B2" s="356" t="s">
        <v>446</v>
      </c>
      <c r="C2" s="356"/>
      <c r="D2" s="355"/>
      <c r="E2" s="357" t="s">
        <v>447</v>
      </c>
      <c r="F2" s="357"/>
      <c r="G2" s="355"/>
      <c r="H2" s="357" t="s">
        <v>448</v>
      </c>
      <c r="I2" s="357"/>
      <c r="J2" s="355"/>
      <c r="K2" s="357" t="s">
        <v>449</v>
      </c>
      <c r="L2" s="357"/>
      <c r="M2" s="355"/>
      <c r="N2" s="357" t="s">
        <v>450</v>
      </c>
      <c r="O2" s="357"/>
    </row>
    <row r="3" spans="1:15" x14ac:dyDescent="0.25">
      <c r="A3" s="359" t="s">
        <v>451</v>
      </c>
      <c r="B3" s="360"/>
      <c r="C3" s="360"/>
      <c r="D3" s="360"/>
      <c r="E3" s="361"/>
      <c r="F3" s="360"/>
      <c r="G3" s="360"/>
      <c r="H3" s="361"/>
      <c r="I3" s="360"/>
      <c r="J3" s="360"/>
      <c r="K3" s="361"/>
      <c r="L3" s="360"/>
      <c r="M3" s="360"/>
      <c r="O3" s="188"/>
    </row>
    <row r="4" spans="1:15" x14ac:dyDescent="0.25">
      <c r="A4" s="362" t="s">
        <v>452</v>
      </c>
      <c r="B4" s="338"/>
      <c r="C4" s="363"/>
      <c r="D4" s="364"/>
      <c r="E4" s="338"/>
      <c r="F4" s="363"/>
      <c r="G4" s="338"/>
      <c r="H4" s="338"/>
      <c r="I4" s="363"/>
      <c r="J4" s="364"/>
      <c r="K4" s="364"/>
      <c r="L4" s="363"/>
      <c r="M4" s="364"/>
      <c r="O4" s="363"/>
    </row>
    <row r="5" spans="1:15" s="348" customFormat="1" ht="12.75" x14ac:dyDescent="0.2">
      <c r="A5" s="365" t="s">
        <v>453</v>
      </c>
      <c r="B5" s="366"/>
      <c r="C5" s="367"/>
      <c r="D5" s="352"/>
      <c r="E5" s="352"/>
      <c r="F5" s="367"/>
      <c r="G5" s="352"/>
      <c r="H5" s="352"/>
      <c r="I5" s="367"/>
      <c r="J5" s="352"/>
      <c r="K5" s="366"/>
      <c r="L5" s="367"/>
      <c r="M5" s="352"/>
      <c r="O5" s="367"/>
    </row>
    <row r="6" spans="1:15" x14ac:dyDescent="0.25">
      <c r="A6" s="362" t="s">
        <v>454</v>
      </c>
      <c r="B6" s="338"/>
      <c r="C6" s="364"/>
      <c r="D6" s="364"/>
      <c r="E6" s="364"/>
      <c r="F6" s="364"/>
      <c r="G6" s="364"/>
      <c r="H6" s="338"/>
      <c r="I6" s="364"/>
      <c r="J6" s="364"/>
      <c r="K6" s="338"/>
      <c r="L6" s="338"/>
      <c r="M6" s="338"/>
    </row>
    <row r="7" spans="1:15" x14ac:dyDescent="0.25">
      <c r="A7" s="368" t="s">
        <v>455</v>
      </c>
      <c r="B7" s="338"/>
      <c r="C7" s="364"/>
      <c r="D7" s="364"/>
      <c r="E7" s="338"/>
      <c r="F7" s="364"/>
      <c r="G7" s="364"/>
      <c r="H7" s="338"/>
      <c r="I7" s="364"/>
      <c r="J7" s="364"/>
      <c r="K7" s="338"/>
      <c r="L7" s="364"/>
      <c r="M7" s="364"/>
      <c r="N7" s="188"/>
    </row>
    <row r="8" spans="1:15" x14ac:dyDescent="0.25">
      <c r="A8" s="362" t="s">
        <v>456</v>
      </c>
      <c r="B8" s="338"/>
      <c r="C8" s="364"/>
      <c r="D8" s="364"/>
      <c r="E8" s="338"/>
      <c r="F8" s="338"/>
      <c r="G8" s="338"/>
      <c r="H8" s="338"/>
      <c r="I8" s="338"/>
      <c r="J8" s="338"/>
      <c r="K8" s="338"/>
      <c r="L8" s="364"/>
      <c r="M8" s="364"/>
      <c r="N8" s="188"/>
    </row>
    <row r="9" spans="1:15" x14ac:dyDescent="0.25">
      <c r="A9" s="368" t="s">
        <v>457</v>
      </c>
      <c r="B9" s="339"/>
      <c r="C9" s="364"/>
      <c r="D9" s="364"/>
      <c r="E9" s="339"/>
      <c r="F9" s="364"/>
      <c r="G9" s="364"/>
      <c r="H9" s="339"/>
      <c r="I9" s="364"/>
      <c r="J9" s="364"/>
      <c r="K9" s="339"/>
      <c r="L9" s="364"/>
      <c r="M9" s="364"/>
      <c r="N9" s="339"/>
    </row>
    <row r="10" spans="1:15" x14ac:dyDescent="0.25">
      <c r="A10" s="362" t="s">
        <v>458</v>
      </c>
      <c r="B10" s="364"/>
      <c r="C10" s="339"/>
      <c r="D10" s="338"/>
      <c r="E10" s="364"/>
      <c r="F10" s="339"/>
      <c r="G10" s="338"/>
      <c r="H10" s="364"/>
      <c r="I10" s="339"/>
      <c r="J10" s="338"/>
      <c r="K10" s="364"/>
      <c r="L10" s="339"/>
      <c r="M10" s="338"/>
      <c r="O10" s="339"/>
    </row>
    <row r="11" spans="1:15" s="348" customFormat="1" ht="12.75" x14ac:dyDescent="0.2">
      <c r="A11" s="365" t="s">
        <v>459</v>
      </c>
      <c r="B11" s="366"/>
      <c r="C11" s="352"/>
      <c r="D11" s="352"/>
      <c r="E11" s="352"/>
      <c r="F11" s="352"/>
      <c r="G11" s="352"/>
      <c r="H11" s="366"/>
      <c r="I11" s="352"/>
      <c r="J11" s="352"/>
      <c r="K11" s="366"/>
      <c r="L11" s="352"/>
      <c r="M11" s="352"/>
      <c r="O11" s="352"/>
    </row>
    <row r="12" spans="1:15" x14ac:dyDescent="0.25">
      <c r="A12" s="362" t="s">
        <v>460</v>
      </c>
      <c r="B12" s="364"/>
      <c r="C12" s="364"/>
      <c r="D12" s="364"/>
      <c r="E12" s="364"/>
      <c r="F12" s="338"/>
      <c r="G12" s="338"/>
      <c r="H12" s="364"/>
      <c r="I12" s="338"/>
      <c r="J12" s="338"/>
      <c r="K12" s="338"/>
      <c r="L12" s="364"/>
      <c r="M12" s="364"/>
    </row>
    <row r="13" spans="1:15" x14ac:dyDescent="0.25">
      <c r="A13" s="362" t="s">
        <v>461</v>
      </c>
      <c r="B13" s="338"/>
      <c r="C13" s="364"/>
      <c r="D13" s="364"/>
      <c r="E13" s="338"/>
      <c r="F13" s="364"/>
      <c r="G13" s="364"/>
      <c r="H13" s="338"/>
      <c r="I13" s="364"/>
      <c r="J13" s="364"/>
      <c r="K13" s="338"/>
      <c r="L13" s="338"/>
      <c r="M13" s="338"/>
      <c r="N13" s="188"/>
    </row>
    <row r="14" spans="1:15" x14ac:dyDescent="0.25">
      <c r="A14" s="362" t="s">
        <v>462</v>
      </c>
      <c r="B14" s="338"/>
      <c r="C14" s="364"/>
      <c r="D14" s="364"/>
      <c r="E14" s="338"/>
      <c r="F14" s="364"/>
      <c r="G14" s="364"/>
      <c r="H14" s="338"/>
      <c r="I14" s="364"/>
      <c r="J14" s="364"/>
      <c r="K14" s="338"/>
      <c r="L14" s="338"/>
      <c r="M14" s="338"/>
      <c r="N14" s="188"/>
    </row>
    <row r="15" spans="1:15" x14ac:dyDescent="0.25">
      <c r="A15" s="362" t="s">
        <v>463</v>
      </c>
      <c r="B15" s="364"/>
      <c r="C15" s="364"/>
      <c r="D15" s="364"/>
      <c r="E15" s="338"/>
      <c r="F15" s="364"/>
      <c r="G15" s="364"/>
      <c r="H15" s="338"/>
      <c r="I15" s="364"/>
      <c r="J15" s="364"/>
      <c r="K15" s="364"/>
      <c r="L15" s="338"/>
      <c r="M15" s="338"/>
    </row>
    <row r="16" spans="1:15" s="374" customFormat="1" x14ac:dyDescent="0.25">
      <c r="A16" s="369" t="s">
        <v>464</v>
      </c>
      <c r="B16" s="370"/>
      <c r="C16" s="371"/>
      <c r="D16" s="371"/>
      <c r="E16" s="372"/>
      <c r="F16" s="371"/>
      <c r="G16" s="371"/>
      <c r="H16" s="372"/>
      <c r="I16" s="371"/>
      <c r="J16" s="371"/>
      <c r="K16" s="372"/>
      <c r="L16" s="373"/>
      <c r="M16" s="373"/>
      <c r="N16" s="372"/>
    </row>
    <row r="17" spans="1:15" x14ac:dyDescent="0.25">
      <c r="A17" s="375" t="s">
        <v>465</v>
      </c>
      <c r="B17" s="364"/>
      <c r="C17" s="339"/>
      <c r="D17" s="338"/>
      <c r="E17" s="338"/>
      <c r="F17" s="339"/>
      <c r="G17" s="338"/>
      <c r="H17" s="338"/>
      <c r="I17" s="339"/>
      <c r="J17" s="338"/>
      <c r="K17" s="364"/>
      <c r="L17" s="339"/>
      <c r="M17" s="338"/>
      <c r="O17" s="339"/>
    </row>
    <row r="18" spans="1:15" s="348" customFormat="1" ht="12.75" x14ac:dyDescent="0.2">
      <c r="A18" s="365" t="s">
        <v>466</v>
      </c>
      <c r="B18" s="366"/>
      <c r="C18" s="352"/>
      <c r="D18" s="352"/>
      <c r="E18" s="366"/>
      <c r="F18" s="352"/>
      <c r="G18" s="352"/>
      <c r="H18" s="366"/>
      <c r="I18" s="352"/>
      <c r="J18" s="352"/>
      <c r="K18" s="366"/>
      <c r="L18" s="352"/>
      <c r="M18" s="352"/>
      <c r="O18" s="352"/>
    </row>
    <row r="19" spans="1:15" x14ac:dyDescent="0.25">
      <c r="A19" s="362" t="s">
        <v>467</v>
      </c>
      <c r="B19" s="364"/>
      <c r="C19" s="364"/>
      <c r="D19" s="364"/>
      <c r="E19" s="364"/>
      <c r="F19" s="364"/>
      <c r="G19" s="364"/>
      <c r="H19" s="364"/>
      <c r="I19" s="364"/>
      <c r="J19" s="364"/>
      <c r="K19" s="364"/>
      <c r="L19" s="338"/>
      <c r="M19" s="338"/>
    </row>
    <row r="20" spans="1:15" x14ac:dyDescent="0.25">
      <c r="A20" s="362" t="s">
        <v>468</v>
      </c>
      <c r="B20" s="364"/>
      <c r="C20" s="364"/>
      <c r="D20" s="364"/>
      <c r="E20" s="364"/>
      <c r="F20" s="364"/>
      <c r="G20" s="364"/>
      <c r="H20" s="364"/>
      <c r="I20" s="364"/>
      <c r="J20" s="364"/>
      <c r="K20" s="364"/>
      <c r="L20" s="364"/>
      <c r="M20" s="364"/>
    </row>
    <row r="21" spans="1:15" x14ac:dyDescent="0.25">
      <c r="A21" s="362" t="s">
        <v>469</v>
      </c>
      <c r="B21" s="336"/>
      <c r="C21" s="339"/>
      <c r="D21" s="338"/>
      <c r="E21" s="364"/>
      <c r="F21" s="339"/>
      <c r="G21" s="338"/>
      <c r="H21" s="364"/>
      <c r="I21" s="339"/>
      <c r="J21" s="338"/>
      <c r="K21" s="364"/>
      <c r="L21" s="339"/>
      <c r="M21" s="338"/>
      <c r="O21" s="339"/>
    </row>
    <row r="22" spans="1:15" s="348" customFormat="1" ht="12.75" x14ac:dyDescent="0.2">
      <c r="A22" s="365" t="s">
        <v>470</v>
      </c>
      <c r="B22" s="366"/>
      <c r="C22" s="352"/>
      <c r="D22" s="352"/>
      <c r="E22" s="366"/>
      <c r="F22" s="352"/>
      <c r="G22" s="352"/>
      <c r="H22" s="366"/>
      <c r="I22" s="352"/>
      <c r="J22" s="352"/>
      <c r="K22" s="366"/>
      <c r="L22" s="352"/>
      <c r="M22" s="352"/>
      <c r="O22" s="352"/>
    </row>
    <row r="23" spans="1:15" x14ac:dyDescent="0.25">
      <c r="A23" s="362" t="s">
        <v>471</v>
      </c>
      <c r="B23" s="364"/>
      <c r="C23" s="339"/>
      <c r="D23" s="338"/>
      <c r="E23" s="364"/>
      <c r="F23" s="339"/>
      <c r="G23" s="338"/>
      <c r="H23" s="364"/>
      <c r="I23" s="339"/>
      <c r="J23" s="338"/>
      <c r="K23" s="364"/>
      <c r="L23" s="339"/>
      <c r="M23" s="338"/>
      <c r="O23" s="339"/>
    </row>
    <row r="24" spans="1:15" s="348" customFormat="1" ht="12.75" x14ac:dyDescent="0.2">
      <c r="A24" s="365" t="s">
        <v>472</v>
      </c>
      <c r="B24" s="366"/>
      <c r="C24" s="352"/>
      <c r="D24" s="352"/>
      <c r="E24" s="366"/>
      <c r="F24" s="352"/>
      <c r="G24" s="352"/>
      <c r="H24" s="366"/>
      <c r="I24" s="352"/>
      <c r="J24" s="352"/>
      <c r="K24" s="366"/>
      <c r="L24" s="352"/>
      <c r="M24" s="352"/>
      <c r="O24" s="352"/>
    </row>
    <row r="25" spans="1:15" x14ac:dyDescent="0.25">
      <c r="A25" s="362" t="s">
        <v>473</v>
      </c>
      <c r="B25" s="338"/>
      <c r="C25" s="338"/>
      <c r="D25" s="338"/>
      <c r="E25" s="338"/>
      <c r="F25" s="338"/>
      <c r="G25" s="338"/>
      <c r="H25" s="338"/>
      <c r="I25" s="338"/>
      <c r="J25" s="338"/>
      <c r="K25" s="338"/>
      <c r="L25" s="338"/>
      <c r="M25" s="338"/>
      <c r="O25" s="338"/>
    </row>
    <row r="26" spans="1:15" s="348" customFormat="1" ht="13.5" thickBot="1" x14ac:dyDescent="0.25">
      <c r="A26" s="365" t="s">
        <v>474</v>
      </c>
      <c r="B26" s="366"/>
      <c r="C26" s="353"/>
      <c r="D26" s="352"/>
      <c r="E26" s="366"/>
      <c r="F26" s="353"/>
      <c r="G26" s="352"/>
      <c r="H26" s="366"/>
      <c r="I26" s="353"/>
      <c r="J26" s="352"/>
      <c r="K26" s="366"/>
      <c r="L26" s="353"/>
      <c r="M26" s="352"/>
      <c r="O26" s="353"/>
    </row>
    <row r="27" spans="1:15" ht="15.75" thickTop="1" x14ac:dyDescent="0.25"/>
    <row r="28" spans="1:15" x14ac:dyDescent="0.25">
      <c r="F28" s="188"/>
      <c r="G28" s="188"/>
    </row>
  </sheetData>
  <mergeCells count="6">
    <mergeCell ref="A1:O1"/>
    <mergeCell ref="B2:C2"/>
    <mergeCell ref="E2:F2"/>
    <mergeCell ref="H2:I2"/>
    <mergeCell ref="K2:L2"/>
    <mergeCell ref="N2:O2"/>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workbookViewId="0">
      <selection activeCell="C4" sqref="C4"/>
    </sheetView>
  </sheetViews>
  <sheetFormatPr baseColWidth="10" defaultColWidth="11.42578125" defaultRowHeight="18" x14ac:dyDescent="0.25"/>
  <cols>
    <col min="1" max="1" width="35.42578125" customWidth="1"/>
    <col min="2" max="2" width="26.5703125" style="390" customWidth="1"/>
    <col min="3" max="3" width="48.42578125" style="237" customWidth="1"/>
    <col min="4" max="4" width="10.7109375" style="392" customWidth="1"/>
    <col min="5" max="5" width="11" style="392" customWidth="1"/>
    <col min="6" max="6" width="10.42578125" style="392" customWidth="1"/>
    <col min="7" max="7" width="10.85546875" style="392" customWidth="1"/>
    <col min="8" max="8" width="12.5703125" style="392" customWidth="1"/>
    <col min="9" max="9" width="64.5703125" customWidth="1"/>
    <col min="257" max="257" width="35.42578125" customWidth="1"/>
    <col min="258" max="258" width="26.5703125" customWidth="1"/>
    <col min="259" max="259" width="48.42578125" customWidth="1"/>
    <col min="260" max="260" width="10.7109375" customWidth="1"/>
    <col min="261" max="261" width="11" customWidth="1"/>
    <col min="262" max="262" width="10.42578125" customWidth="1"/>
    <col min="263" max="263" width="10.85546875" customWidth="1"/>
    <col min="264" max="264" width="12.5703125" customWidth="1"/>
    <col min="265" max="265" width="64.5703125" customWidth="1"/>
    <col min="513" max="513" width="35.42578125" customWidth="1"/>
    <col min="514" max="514" width="26.5703125" customWidth="1"/>
    <col min="515" max="515" width="48.42578125" customWidth="1"/>
    <col min="516" max="516" width="10.7109375" customWidth="1"/>
    <col min="517" max="517" width="11" customWidth="1"/>
    <col min="518" max="518" width="10.42578125" customWidth="1"/>
    <col min="519" max="519" width="10.85546875" customWidth="1"/>
    <col min="520" max="520" width="12.5703125" customWidth="1"/>
    <col min="521" max="521" width="64.5703125" customWidth="1"/>
    <col min="769" max="769" width="35.42578125" customWidth="1"/>
    <col min="770" max="770" width="26.5703125" customWidth="1"/>
    <col min="771" max="771" width="48.42578125" customWidth="1"/>
    <col min="772" max="772" width="10.7109375" customWidth="1"/>
    <col min="773" max="773" width="11" customWidth="1"/>
    <col min="774" max="774" width="10.42578125" customWidth="1"/>
    <col min="775" max="775" width="10.85546875" customWidth="1"/>
    <col min="776" max="776" width="12.5703125" customWidth="1"/>
    <col min="777" max="777" width="64.5703125" customWidth="1"/>
    <col min="1025" max="1025" width="35.42578125" customWidth="1"/>
    <col min="1026" max="1026" width="26.5703125" customWidth="1"/>
    <col min="1027" max="1027" width="48.42578125" customWidth="1"/>
    <col min="1028" max="1028" width="10.7109375" customWidth="1"/>
    <col min="1029" max="1029" width="11" customWidth="1"/>
    <col min="1030" max="1030" width="10.42578125" customWidth="1"/>
    <col min="1031" max="1031" width="10.85546875" customWidth="1"/>
    <col min="1032" max="1032" width="12.5703125" customWidth="1"/>
    <col min="1033" max="1033" width="64.5703125" customWidth="1"/>
    <col min="1281" max="1281" width="35.42578125" customWidth="1"/>
    <col min="1282" max="1282" width="26.5703125" customWidth="1"/>
    <col min="1283" max="1283" width="48.42578125" customWidth="1"/>
    <col min="1284" max="1284" width="10.7109375" customWidth="1"/>
    <col min="1285" max="1285" width="11" customWidth="1"/>
    <col min="1286" max="1286" width="10.42578125" customWidth="1"/>
    <col min="1287" max="1287" width="10.85546875" customWidth="1"/>
    <col min="1288" max="1288" width="12.5703125" customWidth="1"/>
    <col min="1289" max="1289" width="64.5703125" customWidth="1"/>
    <col min="1537" max="1537" width="35.42578125" customWidth="1"/>
    <col min="1538" max="1538" width="26.5703125" customWidth="1"/>
    <col min="1539" max="1539" width="48.42578125" customWidth="1"/>
    <col min="1540" max="1540" width="10.7109375" customWidth="1"/>
    <col min="1541" max="1541" width="11" customWidth="1"/>
    <col min="1542" max="1542" width="10.42578125" customWidth="1"/>
    <col min="1543" max="1543" width="10.85546875" customWidth="1"/>
    <col min="1544" max="1544" width="12.5703125" customWidth="1"/>
    <col min="1545" max="1545" width="64.5703125" customWidth="1"/>
    <col min="1793" max="1793" width="35.42578125" customWidth="1"/>
    <col min="1794" max="1794" width="26.5703125" customWidth="1"/>
    <col min="1795" max="1795" width="48.42578125" customWidth="1"/>
    <col min="1796" max="1796" width="10.7109375" customWidth="1"/>
    <col min="1797" max="1797" width="11" customWidth="1"/>
    <col min="1798" max="1798" width="10.42578125" customWidth="1"/>
    <col min="1799" max="1799" width="10.85546875" customWidth="1"/>
    <col min="1800" max="1800" width="12.5703125" customWidth="1"/>
    <col min="1801" max="1801" width="64.5703125" customWidth="1"/>
    <col min="2049" max="2049" width="35.42578125" customWidth="1"/>
    <col min="2050" max="2050" width="26.5703125" customWidth="1"/>
    <col min="2051" max="2051" width="48.42578125" customWidth="1"/>
    <col min="2052" max="2052" width="10.7109375" customWidth="1"/>
    <col min="2053" max="2053" width="11" customWidth="1"/>
    <col min="2054" max="2054" width="10.42578125" customWidth="1"/>
    <col min="2055" max="2055" width="10.85546875" customWidth="1"/>
    <col min="2056" max="2056" width="12.5703125" customWidth="1"/>
    <col min="2057" max="2057" width="64.5703125" customWidth="1"/>
    <col min="2305" max="2305" width="35.42578125" customWidth="1"/>
    <col min="2306" max="2306" width="26.5703125" customWidth="1"/>
    <col min="2307" max="2307" width="48.42578125" customWidth="1"/>
    <col min="2308" max="2308" width="10.7109375" customWidth="1"/>
    <col min="2309" max="2309" width="11" customWidth="1"/>
    <col min="2310" max="2310" width="10.42578125" customWidth="1"/>
    <col min="2311" max="2311" width="10.85546875" customWidth="1"/>
    <col min="2312" max="2312" width="12.5703125" customWidth="1"/>
    <col min="2313" max="2313" width="64.5703125" customWidth="1"/>
    <col min="2561" max="2561" width="35.42578125" customWidth="1"/>
    <col min="2562" max="2562" width="26.5703125" customWidth="1"/>
    <col min="2563" max="2563" width="48.42578125" customWidth="1"/>
    <col min="2564" max="2564" width="10.7109375" customWidth="1"/>
    <col min="2565" max="2565" width="11" customWidth="1"/>
    <col min="2566" max="2566" width="10.42578125" customWidth="1"/>
    <col min="2567" max="2567" width="10.85546875" customWidth="1"/>
    <col min="2568" max="2568" width="12.5703125" customWidth="1"/>
    <col min="2569" max="2569" width="64.5703125" customWidth="1"/>
    <col min="2817" max="2817" width="35.42578125" customWidth="1"/>
    <col min="2818" max="2818" width="26.5703125" customWidth="1"/>
    <col min="2819" max="2819" width="48.42578125" customWidth="1"/>
    <col min="2820" max="2820" width="10.7109375" customWidth="1"/>
    <col min="2821" max="2821" width="11" customWidth="1"/>
    <col min="2822" max="2822" width="10.42578125" customWidth="1"/>
    <col min="2823" max="2823" width="10.85546875" customWidth="1"/>
    <col min="2824" max="2824" width="12.5703125" customWidth="1"/>
    <col min="2825" max="2825" width="64.5703125" customWidth="1"/>
    <col min="3073" max="3073" width="35.42578125" customWidth="1"/>
    <col min="3074" max="3074" width="26.5703125" customWidth="1"/>
    <col min="3075" max="3075" width="48.42578125" customWidth="1"/>
    <col min="3076" max="3076" width="10.7109375" customWidth="1"/>
    <col min="3077" max="3077" width="11" customWidth="1"/>
    <col min="3078" max="3078" width="10.42578125" customWidth="1"/>
    <col min="3079" max="3079" width="10.85546875" customWidth="1"/>
    <col min="3080" max="3080" width="12.5703125" customWidth="1"/>
    <col min="3081" max="3081" width="64.5703125" customWidth="1"/>
    <col min="3329" max="3329" width="35.42578125" customWidth="1"/>
    <col min="3330" max="3330" width="26.5703125" customWidth="1"/>
    <col min="3331" max="3331" width="48.42578125" customWidth="1"/>
    <col min="3332" max="3332" width="10.7109375" customWidth="1"/>
    <col min="3333" max="3333" width="11" customWidth="1"/>
    <col min="3334" max="3334" width="10.42578125" customWidth="1"/>
    <col min="3335" max="3335" width="10.85546875" customWidth="1"/>
    <col min="3336" max="3336" width="12.5703125" customWidth="1"/>
    <col min="3337" max="3337" width="64.5703125" customWidth="1"/>
    <col min="3585" max="3585" width="35.42578125" customWidth="1"/>
    <col min="3586" max="3586" width="26.5703125" customWidth="1"/>
    <col min="3587" max="3587" width="48.42578125" customWidth="1"/>
    <col min="3588" max="3588" width="10.7109375" customWidth="1"/>
    <col min="3589" max="3589" width="11" customWidth="1"/>
    <col min="3590" max="3590" width="10.42578125" customWidth="1"/>
    <col min="3591" max="3591" width="10.85546875" customWidth="1"/>
    <col min="3592" max="3592" width="12.5703125" customWidth="1"/>
    <col min="3593" max="3593" width="64.5703125" customWidth="1"/>
    <col min="3841" max="3841" width="35.42578125" customWidth="1"/>
    <col min="3842" max="3842" width="26.5703125" customWidth="1"/>
    <col min="3843" max="3843" width="48.42578125" customWidth="1"/>
    <col min="3844" max="3844" width="10.7109375" customWidth="1"/>
    <col min="3845" max="3845" width="11" customWidth="1"/>
    <col min="3846" max="3846" width="10.42578125" customWidth="1"/>
    <col min="3847" max="3847" width="10.85546875" customWidth="1"/>
    <col min="3848" max="3848" width="12.5703125" customWidth="1"/>
    <col min="3849" max="3849" width="64.5703125" customWidth="1"/>
    <col min="4097" max="4097" width="35.42578125" customWidth="1"/>
    <col min="4098" max="4098" width="26.5703125" customWidth="1"/>
    <col min="4099" max="4099" width="48.42578125" customWidth="1"/>
    <col min="4100" max="4100" width="10.7109375" customWidth="1"/>
    <col min="4101" max="4101" width="11" customWidth="1"/>
    <col min="4102" max="4102" width="10.42578125" customWidth="1"/>
    <col min="4103" max="4103" width="10.85546875" customWidth="1"/>
    <col min="4104" max="4104" width="12.5703125" customWidth="1"/>
    <col min="4105" max="4105" width="64.5703125" customWidth="1"/>
    <col min="4353" max="4353" width="35.42578125" customWidth="1"/>
    <col min="4354" max="4354" width="26.5703125" customWidth="1"/>
    <col min="4355" max="4355" width="48.42578125" customWidth="1"/>
    <col min="4356" max="4356" width="10.7109375" customWidth="1"/>
    <col min="4357" max="4357" width="11" customWidth="1"/>
    <col min="4358" max="4358" width="10.42578125" customWidth="1"/>
    <col min="4359" max="4359" width="10.85546875" customWidth="1"/>
    <col min="4360" max="4360" width="12.5703125" customWidth="1"/>
    <col min="4361" max="4361" width="64.5703125" customWidth="1"/>
    <col min="4609" max="4609" width="35.42578125" customWidth="1"/>
    <col min="4610" max="4610" width="26.5703125" customWidth="1"/>
    <col min="4611" max="4611" width="48.42578125" customWidth="1"/>
    <col min="4612" max="4612" width="10.7109375" customWidth="1"/>
    <col min="4613" max="4613" width="11" customWidth="1"/>
    <col min="4614" max="4614" width="10.42578125" customWidth="1"/>
    <col min="4615" max="4615" width="10.85546875" customWidth="1"/>
    <col min="4616" max="4616" width="12.5703125" customWidth="1"/>
    <col min="4617" max="4617" width="64.5703125" customWidth="1"/>
    <col min="4865" max="4865" width="35.42578125" customWidth="1"/>
    <col min="4866" max="4866" width="26.5703125" customWidth="1"/>
    <col min="4867" max="4867" width="48.42578125" customWidth="1"/>
    <col min="4868" max="4868" width="10.7109375" customWidth="1"/>
    <col min="4869" max="4869" width="11" customWidth="1"/>
    <col min="4870" max="4870" width="10.42578125" customWidth="1"/>
    <col min="4871" max="4871" width="10.85546875" customWidth="1"/>
    <col min="4872" max="4872" width="12.5703125" customWidth="1"/>
    <col min="4873" max="4873" width="64.5703125" customWidth="1"/>
    <col min="5121" max="5121" width="35.42578125" customWidth="1"/>
    <col min="5122" max="5122" width="26.5703125" customWidth="1"/>
    <col min="5123" max="5123" width="48.42578125" customWidth="1"/>
    <col min="5124" max="5124" width="10.7109375" customWidth="1"/>
    <col min="5125" max="5125" width="11" customWidth="1"/>
    <col min="5126" max="5126" width="10.42578125" customWidth="1"/>
    <col min="5127" max="5127" width="10.85546875" customWidth="1"/>
    <col min="5128" max="5128" width="12.5703125" customWidth="1"/>
    <col min="5129" max="5129" width="64.5703125" customWidth="1"/>
    <col min="5377" max="5377" width="35.42578125" customWidth="1"/>
    <col min="5378" max="5378" width="26.5703125" customWidth="1"/>
    <col min="5379" max="5379" width="48.42578125" customWidth="1"/>
    <col min="5380" max="5380" width="10.7109375" customWidth="1"/>
    <col min="5381" max="5381" width="11" customWidth="1"/>
    <col min="5382" max="5382" width="10.42578125" customWidth="1"/>
    <col min="5383" max="5383" width="10.85546875" customWidth="1"/>
    <col min="5384" max="5384" width="12.5703125" customWidth="1"/>
    <col min="5385" max="5385" width="64.5703125" customWidth="1"/>
    <col min="5633" max="5633" width="35.42578125" customWidth="1"/>
    <col min="5634" max="5634" width="26.5703125" customWidth="1"/>
    <col min="5635" max="5635" width="48.42578125" customWidth="1"/>
    <col min="5636" max="5636" width="10.7109375" customWidth="1"/>
    <col min="5637" max="5637" width="11" customWidth="1"/>
    <col min="5638" max="5638" width="10.42578125" customWidth="1"/>
    <col min="5639" max="5639" width="10.85546875" customWidth="1"/>
    <col min="5640" max="5640" width="12.5703125" customWidth="1"/>
    <col min="5641" max="5641" width="64.5703125" customWidth="1"/>
    <col min="5889" max="5889" width="35.42578125" customWidth="1"/>
    <col min="5890" max="5890" width="26.5703125" customWidth="1"/>
    <col min="5891" max="5891" width="48.42578125" customWidth="1"/>
    <col min="5892" max="5892" width="10.7109375" customWidth="1"/>
    <col min="5893" max="5893" width="11" customWidth="1"/>
    <col min="5894" max="5894" width="10.42578125" customWidth="1"/>
    <col min="5895" max="5895" width="10.85546875" customWidth="1"/>
    <col min="5896" max="5896" width="12.5703125" customWidth="1"/>
    <col min="5897" max="5897" width="64.5703125" customWidth="1"/>
    <col min="6145" max="6145" width="35.42578125" customWidth="1"/>
    <col min="6146" max="6146" width="26.5703125" customWidth="1"/>
    <col min="6147" max="6147" width="48.42578125" customWidth="1"/>
    <col min="6148" max="6148" width="10.7109375" customWidth="1"/>
    <col min="6149" max="6149" width="11" customWidth="1"/>
    <col min="6150" max="6150" width="10.42578125" customWidth="1"/>
    <col min="6151" max="6151" width="10.85546875" customWidth="1"/>
    <col min="6152" max="6152" width="12.5703125" customWidth="1"/>
    <col min="6153" max="6153" width="64.5703125" customWidth="1"/>
    <col min="6401" max="6401" width="35.42578125" customWidth="1"/>
    <col min="6402" max="6402" width="26.5703125" customWidth="1"/>
    <col min="6403" max="6403" width="48.42578125" customWidth="1"/>
    <col min="6404" max="6404" width="10.7109375" customWidth="1"/>
    <col min="6405" max="6405" width="11" customWidth="1"/>
    <col min="6406" max="6406" width="10.42578125" customWidth="1"/>
    <col min="6407" max="6407" width="10.85546875" customWidth="1"/>
    <col min="6408" max="6408" width="12.5703125" customWidth="1"/>
    <col min="6409" max="6409" width="64.5703125" customWidth="1"/>
    <col min="6657" max="6657" width="35.42578125" customWidth="1"/>
    <col min="6658" max="6658" width="26.5703125" customWidth="1"/>
    <col min="6659" max="6659" width="48.42578125" customWidth="1"/>
    <col min="6660" max="6660" width="10.7109375" customWidth="1"/>
    <col min="6661" max="6661" width="11" customWidth="1"/>
    <col min="6662" max="6662" width="10.42578125" customWidth="1"/>
    <col min="6663" max="6663" width="10.85546875" customWidth="1"/>
    <col min="6664" max="6664" width="12.5703125" customWidth="1"/>
    <col min="6665" max="6665" width="64.5703125" customWidth="1"/>
    <col min="6913" max="6913" width="35.42578125" customWidth="1"/>
    <col min="6914" max="6914" width="26.5703125" customWidth="1"/>
    <col min="6915" max="6915" width="48.42578125" customWidth="1"/>
    <col min="6916" max="6916" width="10.7109375" customWidth="1"/>
    <col min="6917" max="6917" width="11" customWidth="1"/>
    <col min="6918" max="6918" width="10.42578125" customWidth="1"/>
    <col min="6919" max="6919" width="10.85546875" customWidth="1"/>
    <col min="6920" max="6920" width="12.5703125" customWidth="1"/>
    <col min="6921" max="6921" width="64.5703125" customWidth="1"/>
    <col min="7169" max="7169" width="35.42578125" customWidth="1"/>
    <col min="7170" max="7170" width="26.5703125" customWidth="1"/>
    <col min="7171" max="7171" width="48.42578125" customWidth="1"/>
    <col min="7172" max="7172" width="10.7109375" customWidth="1"/>
    <col min="7173" max="7173" width="11" customWidth="1"/>
    <col min="7174" max="7174" width="10.42578125" customWidth="1"/>
    <col min="7175" max="7175" width="10.85546875" customWidth="1"/>
    <col min="7176" max="7176" width="12.5703125" customWidth="1"/>
    <col min="7177" max="7177" width="64.5703125" customWidth="1"/>
    <col min="7425" max="7425" width="35.42578125" customWidth="1"/>
    <col min="7426" max="7426" width="26.5703125" customWidth="1"/>
    <col min="7427" max="7427" width="48.42578125" customWidth="1"/>
    <col min="7428" max="7428" width="10.7109375" customWidth="1"/>
    <col min="7429" max="7429" width="11" customWidth="1"/>
    <col min="7430" max="7430" width="10.42578125" customWidth="1"/>
    <col min="7431" max="7431" width="10.85546875" customWidth="1"/>
    <col min="7432" max="7432" width="12.5703125" customWidth="1"/>
    <col min="7433" max="7433" width="64.5703125" customWidth="1"/>
    <col min="7681" max="7681" width="35.42578125" customWidth="1"/>
    <col min="7682" max="7682" width="26.5703125" customWidth="1"/>
    <col min="7683" max="7683" width="48.42578125" customWidth="1"/>
    <col min="7684" max="7684" width="10.7109375" customWidth="1"/>
    <col min="7685" max="7685" width="11" customWidth="1"/>
    <col min="7686" max="7686" width="10.42578125" customWidth="1"/>
    <col min="7687" max="7687" width="10.85546875" customWidth="1"/>
    <col min="7688" max="7688" width="12.5703125" customWidth="1"/>
    <col min="7689" max="7689" width="64.5703125" customWidth="1"/>
    <col min="7937" max="7937" width="35.42578125" customWidth="1"/>
    <col min="7938" max="7938" width="26.5703125" customWidth="1"/>
    <col min="7939" max="7939" width="48.42578125" customWidth="1"/>
    <col min="7940" max="7940" width="10.7109375" customWidth="1"/>
    <col min="7941" max="7941" width="11" customWidth="1"/>
    <col min="7942" max="7942" width="10.42578125" customWidth="1"/>
    <col min="7943" max="7943" width="10.85546875" customWidth="1"/>
    <col min="7944" max="7944" width="12.5703125" customWidth="1"/>
    <col min="7945" max="7945" width="64.5703125" customWidth="1"/>
    <col min="8193" max="8193" width="35.42578125" customWidth="1"/>
    <col min="8194" max="8194" width="26.5703125" customWidth="1"/>
    <col min="8195" max="8195" width="48.42578125" customWidth="1"/>
    <col min="8196" max="8196" width="10.7109375" customWidth="1"/>
    <col min="8197" max="8197" width="11" customWidth="1"/>
    <col min="8198" max="8198" width="10.42578125" customWidth="1"/>
    <col min="8199" max="8199" width="10.85546875" customWidth="1"/>
    <col min="8200" max="8200" width="12.5703125" customWidth="1"/>
    <col min="8201" max="8201" width="64.5703125" customWidth="1"/>
    <col min="8449" max="8449" width="35.42578125" customWidth="1"/>
    <col min="8450" max="8450" width="26.5703125" customWidth="1"/>
    <col min="8451" max="8451" width="48.42578125" customWidth="1"/>
    <col min="8452" max="8452" width="10.7109375" customWidth="1"/>
    <col min="8453" max="8453" width="11" customWidth="1"/>
    <col min="8454" max="8454" width="10.42578125" customWidth="1"/>
    <col min="8455" max="8455" width="10.85546875" customWidth="1"/>
    <col min="8456" max="8456" width="12.5703125" customWidth="1"/>
    <col min="8457" max="8457" width="64.5703125" customWidth="1"/>
    <col min="8705" max="8705" width="35.42578125" customWidth="1"/>
    <col min="8706" max="8706" width="26.5703125" customWidth="1"/>
    <col min="8707" max="8707" width="48.42578125" customWidth="1"/>
    <col min="8708" max="8708" width="10.7109375" customWidth="1"/>
    <col min="8709" max="8709" width="11" customWidth="1"/>
    <col min="8710" max="8710" width="10.42578125" customWidth="1"/>
    <col min="8711" max="8711" width="10.85546875" customWidth="1"/>
    <col min="8712" max="8712" width="12.5703125" customWidth="1"/>
    <col min="8713" max="8713" width="64.5703125" customWidth="1"/>
    <col min="8961" max="8961" width="35.42578125" customWidth="1"/>
    <col min="8962" max="8962" width="26.5703125" customWidth="1"/>
    <col min="8963" max="8963" width="48.42578125" customWidth="1"/>
    <col min="8964" max="8964" width="10.7109375" customWidth="1"/>
    <col min="8965" max="8965" width="11" customWidth="1"/>
    <col min="8966" max="8966" width="10.42578125" customWidth="1"/>
    <col min="8967" max="8967" width="10.85546875" customWidth="1"/>
    <col min="8968" max="8968" width="12.5703125" customWidth="1"/>
    <col min="8969" max="8969" width="64.5703125" customWidth="1"/>
    <col min="9217" max="9217" width="35.42578125" customWidth="1"/>
    <col min="9218" max="9218" width="26.5703125" customWidth="1"/>
    <col min="9219" max="9219" width="48.42578125" customWidth="1"/>
    <col min="9220" max="9220" width="10.7109375" customWidth="1"/>
    <col min="9221" max="9221" width="11" customWidth="1"/>
    <col min="9222" max="9222" width="10.42578125" customWidth="1"/>
    <col min="9223" max="9223" width="10.85546875" customWidth="1"/>
    <col min="9224" max="9224" width="12.5703125" customWidth="1"/>
    <col min="9225" max="9225" width="64.5703125" customWidth="1"/>
    <col min="9473" max="9473" width="35.42578125" customWidth="1"/>
    <col min="9474" max="9474" width="26.5703125" customWidth="1"/>
    <col min="9475" max="9475" width="48.42578125" customWidth="1"/>
    <col min="9476" max="9476" width="10.7109375" customWidth="1"/>
    <col min="9477" max="9477" width="11" customWidth="1"/>
    <col min="9478" max="9478" width="10.42578125" customWidth="1"/>
    <col min="9479" max="9479" width="10.85546875" customWidth="1"/>
    <col min="9480" max="9480" width="12.5703125" customWidth="1"/>
    <col min="9481" max="9481" width="64.5703125" customWidth="1"/>
    <col min="9729" max="9729" width="35.42578125" customWidth="1"/>
    <col min="9730" max="9730" width="26.5703125" customWidth="1"/>
    <col min="9731" max="9731" width="48.42578125" customWidth="1"/>
    <col min="9732" max="9732" width="10.7109375" customWidth="1"/>
    <col min="9733" max="9733" width="11" customWidth="1"/>
    <col min="9734" max="9734" width="10.42578125" customWidth="1"/>
    <col min="9735" max="9735" width="10.85546875" customWidth="1"/>
    <col min="9736" max="9736" width="12.5703125" customWidth="1"/>
    <col min="9737" max="9737" width="64.5703125" customWidth="1"/>
    <col min="9985" max="9985" width="35.42578125" customWidth="1"/>
    <col min="9986" max="9986" width="26.5703125" customWidth="1"/>
    <col min="9987" max="9987" width="48.42578125" customWidth="1"/>
    <col min="9988" max="9988" width="10.7109375" customWidth="1"/>
    <col min="9989" max="9989" width="11" customWidth="1"/>
    <col min="9990" max="9990" width="10.42578125" customWidth="1"/>
    <col min="9991" max="9991" width="10.85546875" customWidth="1"/>
    <col min="9992" max="9992" width="12.5703125" customWidth="1"/>
    <col min="9993" max="9993" width="64.5703125" customWidth="1"/>
    <col min="10241" max="10241" width="35.42578125" customWidth="1"/>
    <col min="10242" max="10242" width="26.5703125" customWidth="1"/>
    <col min="10243" max="10243" width="48.42578125" customWidth="1"/>
    <col min="10244" max="10244" width="10.7109375" customWidth="1"/>
    <col min="10245" max="10245" width="11" customWidth="1"/>
    <col min="10246" max="10246" width="10.42578125" customWidth="1"/>
    <col min="10247" max="10247" width="10.85546875" customWidth="1"/>
    <col min="10248" max="10248" width="12.5703125" customWidth="1"/>
    <col min="10249" max="10249" width="64.5703125" customWidth="1"/>
    <col min="10497" max="10497" width="35.42578125" customWidth="1"/>
    <col min="10498" max="10498" width="26.5703125" customWidth="1"/>
    <col min="10499" max="10499" width="48.42578125" customWidth="1"/>
    <col min="10500" max="10500" width="10.7109375" customWidth="1"/>
    <col min="10501" max="10501" width="11" customWidth="1"/>
    <col min="10502" max="10502" width="10.42578125" customWidth="1"/>
    <col min="10503" max="10503" width="10.85546875" customWidth="1"/>
    <col min="10504" max="10504" width="12.5703125" customWidth="1"/>
    <col min="10505" max="10505" width="64.5703125" customWidth="1"/>
    <col min="10753" max="10753" width="35.42578125" customWidth="1"/>
    <col min="10754" max="10754" width="26.5703125" customWidth="1"/>
    <col min="10755" max="10755" width="48.42578125" customWidth="1"/>
    <col min="10756" max="10756" width="10.7109375" customWidth="1"/>
    <col min="10757" max="10757" width="11" customWidth="1"/>
    <col min="10758" max="10758" width="10.42578125" customWidth="1"/>
    <col min="10759" max="10759" width="10.85546875" customWidth="1"/>
    <col min="10760" max="10760" width="12.5703125" customWidth="1"/>
    <col min="10761" max="10761" width="64.5703125" customWidth="1"/>
    <col min="11009" max="11009" width="35.42578125" customWidth="1"/>
    <col min="11010" max="11010" width="26.5703125" customWidth="1"/>
    <col min="11011" max="11011" width="48.42578125" customWidth="1"/>
    <col min="11012" max="11012" width="10.7109375" customWidth="1"/>
    <col min="11013" max="11013" width="11" customWidth="1"/>
    <col min="11014" max="11014" width="10.42578125" customWidth="1"/>
    <col min="11015" max="11015" width="10.85546875" customWidth="1"/>
    <col min="11016" max="11016" width="12.5703125" customWidth="1"/>
    <col min="11017" max="11017" width="64.5703125" customWidth="1"/>
    <col min="11265" max="11265" width="35.42578125" customWidth="1"/>
    <col min="11266" max="11266" width="26.5703125" customWidth="1"/>
    <col min="11267" max="11267" width="48.42578125" customWidth="1"/>
    <col min="11268" max="11268" width="10.7109375" customWidth="1"/>
    <col min="11269" max="11269" width="11" customWidth="1"/>
    <col min="11270" max="11270" width="10.42578125" customWidth="1"/>
    <col min="11271" max="11271" width="10.85546875" customWidth="1"/>
    <col min="11272" max="11272" width="12.5703125" customWidth="1"/>
    <col min="11273" max="11273" width="64.5703125" customWidth="1"/>
    <col min="11521" max="11521" width="35.42578125" customWidth="1"/>
    <col min="11522" max="11522" width="26.5703125" customWidth="1"/>
    <col min="11523" max="11523" width="48.42578125" customWidth="1"/>
    <col min="11524" max="11524" width="10.7109375" customWidth="1"/>
    <col min="11525" max="11525" width="11" customWidth="1"/>
    <col min="11526" max="11526" width="10.42578125" customWidth="1"/>
    <col min="11527" max="11527" width="10.85546875" customWidth="1"/>
    <col min="11528" max="11528" width="12.5703125" customWidth="1"/>
    <col min="11529" max="11529" width="64.5703125" customWidth="1"/>
    <col min="11777" max="11777" width="35.42578125" customWidth="1"/>
    <col min="11778" max="11778" width="26.5703125" customWidth="1"/>
    <col min="11779" max="11779" width="48.42578125" customWidth="1"/>
    <col min="11780" max="11780" width="10.7109375" customWidth="1"/>
    <col min="11781" max="11781" width="11" customWidth="1"/>
    <col min="11782" max="11782" width="10.42578125" customWidth="1"/>
    <col min="11783" max="11783" width="10.85546875" customWidth="1"/>
    <col min="11784" max="11784" width="12.5703125" customWidth="1"/>
    <col min="11785" max="11785" width="64.5703125" customWidth="1"/>
    <col min="12033" max="12033" width="35.42578125" customWidth="1"/>
    <col min="12034" max="12034" width="26.5703125" customWidth="1"/>
    <col min="12035" max="12035" width="48.42578125" customWidth="1"/>
    <col min="12036" max="12036" width="10.7109375" customWidth="1"/>
    <col min="12037" max="12037" width="11" customWidth="1"/>
    <col min="12038" max="12038" width="10.42578125" customWidth="1"/>
    <col min="12039" max="12039" width="10.85546875" customWidth="1"/>
    <col min="12040" max="12040" width="12.5703125" customWidth="1"/>
    <col min="12041" max="12041" width="64.5703125" customWidth="1"/>
    <col min="12289" max="12289" width="35.42578125" customWidth="1"/>
    <col min="12290" max="12290" width="26.5703125" customWidth="1"/>
    <col min="12291" max="12291" width="48.42578125" customWidth="1"/>
    <col min="12292" max="12292" width="10.7109375" customWidth="1"/>
    <col min="12293" max="12293" width="11" customWidth="1"/>
    <col min="12294" max="12294" width="10.42578125" customWidth="1"/>
    <col min="12295" max="12295" width="10.85546875" customWidth="1"/>
    <col min="12296" max="12296" width="12.5703125" customWidth="1"/>
    <col min="12297" max="12297" width="64.5703125" customWidth="1"/>
    <col min="12545" max="12545" width="35.42578125" customWidth="1"/>
    <col min="12546" max="12546" width="26.5703125" customWidth="1"/>
    <col min="12547" max="12547" width="48.42578125" customWidth="1"/>
    <col min="12548" max="12548" width="10.7109375" customWidth="1"/>
    <col min="12549" max="12549" width="11" customWidth="1"/>
    <col min="12550" max="12550" width="10.42578125" customWidth="1"/>
    <col min="12551" max="12551" width="10.85546875" customWidth="1"/>
    <col min="12552" max="12552" width="12.5703125" customWidth="1"/>
    <col min="12553" max="12553" width="64.5703125" customWidth="1"/>
    <col min="12801" max="12801" width="35.42578125" customWidth="1"/>
    <col min="12802" max="12802" width="26.5703125" customWidth="1"/>
    <col min="12803" max="12803" width="48.42578125" customWidth="1"/>
    <col min="12804" max="12804" width="10.7109375" customWidth="1"/>
    <col min="12805" max="12805" width="11" customWidth="1"/>
    <col min="12806" max="12806" width="10.42578125" customWidth="1"/>
    <col min="12807" max="12807" width="10.85546875" customWidth="1"/>
    <col min="12808" max="12808" width="12.5703125" customWidth="1"/>
    <col min="12809" max="12809" width="64.5703125" customWidth="1"/>
    <col min="13057" max="13057" width="35.42578125" customWidth="1"/>
    <col min="13058" max="13058" width="26.5703125" customWidth="1"/>
    <col min="13059" max="13059" width="48.42578125" customWidth="1"/>
    <col min="13060" max="13060" width="10.7109375" customWidth="1"/>
    <col min="13061" max="13061" width="11" customWidth="1"/>
    <col min="13062" max="13062" width="10.42578125" customWidth="1"/>
    <col min="13063" max="13063" width="10.85546875" customWidth="1"/>
    <col min="13064" max="13064" width="12.5703125" customWidth="1"/>
    <col min="13065" max="13065" width="64.5703125" customWidth="1"/>
    <col min="13313" max="13313" width="35.42578125" customWidth="1"/>
    <col min="13314" max="13314" width="26.5703125" customWidth="1"/>
    <col min="13315" max="13315" width="48.42578125" customWidth="1"/>
    <col min="13316" max="13316" width="10.7109375" customWidth="1"/>
    <col min="13317" max="13317" width="11" customWidth="1"/>
    <col min="13318" max="13318" width="10.42578125" customWidth="1"/>
    <col min="13319" max="13319" width="10.85546875" customWidth="1"/>
    <col min="13320" max="13320" width="12.5703125" customWidth="1"/>
    <col min="13321" max="13321" width="64.5703125" customWidth="1"/>
    <col min="13569" max="13569" width="35.42578125" customWidth="1"/>
    <col min="13570" max="13570" width="26.5703125" customWidth="1"/>
    <col min="13571" max="13571" width="48.42578125" customWidth="1"/>
    <col min="13572" max="13572" width="10.7109375" customWidth="1"/>
    <col min="13573" max="13573" width="11" customWidth="1"/>
    <col min="13574" max="13574" width="10.42578125" customWidth="1"/>
    <col min="13575" max="13575" width="10.85546875" customWidth="1"/>
    <col min="13576" max="13576" width="12.5703125" customWidth="1"/>
    <col min="13577" max="13577" width="64.5703125" customWidth="1"/>
    <col min="13825" max="13825" width="35.42578125" customWidth="1"/>
    <col min="13826" max="13826" width="26.5703125" customWidth="1"/>
    <col min="13827" max="13827" width="48.42578125" customWidth="1"/>
    <col min="13828" max="13828" width="10.7109375" customWidth="1"/>
    <col min="13829" max="13829" width="11" customWidth="1"/>
    <col min="13830" max="13830" width="10.42578125" customWidth="1"/>
    <col min="13831" max="13831" width="10.85546875" customWidth="1"/>
    <col min="13832" max="13832" width="12.5703125" customWidth="1"/>
    <col min="13833" max="13833" width="64.5703125" customWidth="1"/>
    <col min="14081" max="14081" width="35.42578125" customWidth="1"/>
    <col min="14082" max="14082" width="26.5703125" customWidth="1"/>
    <col min="14083" max="14083" width="48.42578125" customWidth="1"/>
    <col min="14084" max="14084" width="10.7109375" customWidth="1"/>
    <col min="14085" max="14085" width="11" customWidth="1"/>
    <col min="14086" max="14086" width="10.42578125" customWidth="1"/>
    <col min="14087" max="14087" width="10.85546875" customWidth="1"/>
    <col min="14088" max="14088" width="12.5703125" customWidth="1"/>
    <col min="14089" max="14089" width="64.5703125" customWidth="1"/>
    <col min="14337" max="14337" width="35.42578125" customWidth="1"/>
    <col min="14338" max="14338" width="26.5703125" customWidth="1"/>
    <col min="14339" max="14339" width="48.42578125" customWidth="1"/>
    <col min="14340" max="14340" width="10.7109375" customWidth="1"/>
    <col min="14341" max="14341" width="11" customWidth="1"/>
    <col min="14342" max="14342" width="10.42578125" customWidth="1"/>
    <col min="14343" max="14343" width="10.85546875" customWidth="1"/>
    <col min="14344" max="14344" width="12.5703125" customWidth="1"/>
    <col min="14345" max="14345" width="64.5703125" customWidth="1"/>
    <col min="14593" max="14593" width="35.42578125" customWidth="1"/>
    <col min="14594" max="14594" width="26.5703125" customWidth="1"/>
    <col min="14595" max="14595" width="48.42578125" customWidth="1"/>
    <col min="14596" max="14596" width="10.7109375" customWidth="1"/>
    <col min="14597" max="14597" width="11" customWidth="1"/>
    <col min="14598" max="14598" width="10.42578125" customWidth="1"/>
    <col min="14599" max="14599" width="10.85546875" customWidth="1"/>
    <col min="14600" max="14600" width="12.5703125" customWidth="1"/>
    <col min="14601" max="14601" width="64.5703125" customWidth="1"/>
    <col min="14849" max="14849" width="35.42578125" customWidth="1"/>
    <col min="14850" max="14850" width="26.5703125" customWidth="1"/>
    <col min="14851" max="14851" width="48.42578125" customWidth="1"/>
    <col min="14852" max="14852" width="10.7109375" customWidth="1"/>
    <col min="14853" max="14853" width="11" customWidth="1"/>
    <col min="14854" max="14854" width="10.42578125" customWidth="1"/>
    <col min="14855" max="14855" width="10.85546875" customWidth="1"/>
    <col min="14856" max="14856" width="12.5703125" customWidth="1"/>
    <col min="14857" max="14857" width="64.5703125" customWidth="1"/>
    <col min="15105" max="15105" width="35.42578125" customWidth="1"/>
    <col min="15106" max="15106" width="26.5703125" customWidth="1"/>
    <col min="15107" max="15107" width="48.42578125" customWidth="1"/>
    <col min="15108" max="15108" width="10.7109375" customWidth="1"/>
    <col min="15109" max="15109" width="11" customWidth="1"/>
    <col min="15110" max="15110" width="10.42578125" customWidth="1"/>
    <col min="15111" max="15111" width="10.85546875" customWidth="1"/>
    <col min="15112" max="15112" width="12.5703125" customWidth="1"/>
    <col min="15113" max="15113" width="64.5703125" customWidth="1"/>
    <col min="15361" max="15361" width="35.42578125" customWidth="1"/>
    <col min="15362" max="15362" width="26.5703125" customWidth="1"/>
    <col min="15363" max="15363" width="48.42578125" customWidth="1"/>
    <col min="15364" max="15364" width="10.7109375" customWidth="1"/>
    <col min="15365" max="15365" width="11" customWidth="1"/>
    <col min="15366" max="15366" width="10.42578125" customWidth="1"/>
    <col min="15367" max="15367" width="10.85546875" customWidth="1"/>
    <col min="15368" max="15368" width="12.5703125" customWidth="1"/>
    <col min="15369" max="15369" width="64.5703125" customWidth="1"/>
    <col min="15617" max="15617" width="35.42578125" customWidth="1"/>
    <col min="15618" max="15618" width="26.5703125" customWidth="1"/>
    <col min="15619" max="15619" width="48.42578125" customWidth="1"/>
    <col min="15620" max="15620" width="10.7109375" customWidth="1"/>
    <col min="15621" max="15621" width="11" customWidth="1"/>
    <col min="15622" max="15622" width="10.42578125" customWidth="1"/>
    <col min="15623" max="15623" width="10.85546875" customWidth="1"/>
    <col min="15624" max="15624" width="12.5703125" customWidth="1"/>
    <col min="15625" max="15625" width="64.5703125" customWidth="1"/>
    <col min="15873" max="15873" width="35.42578125" customWidth="1"/>
    <col min="15874" max="15874" width="26.5703125" customWidth="1"/>
    <col min="15875" max="15875" width="48.42578125" customWidth="1"/>
    <col min="15876" max="15876" width="10.7109375" customWidth="1"/>
    <col min="15877" max="15877" width="11" customWidth="1"/>
    <col min="15878" max="15878" width="10.42578125" customWidth="1"/>
    <col min="15879" max="15879" width="10.85546875" customWidth="1"/>
    <col min="15880" max="15880" width="12.5703125" customWidth="1"/>
    <col min="15881" max="15881" width="64.5703125" customWidth="1"/>
    <col min="16129" max="16129" width="35.42578125" customWidth="1"/>
    <col min="16130" max="16130" width="26.5703125" customWidth="1"/>
    <col min="16131" max="16131" width="48.42578125" customWidth="1"/>
    <col min="16132" max="16132" width="10.7109375" customWidth="1"/>
    <col min="16133" max="16133" width="11" customWidth="1"/>
    <col min="16134" max="16134" width="10.42578125" customWidth="1"/>
    <col min="16135" max="16135" width="10.85546875" customWidth="1"/>
    <col min="16136" max="16136" width="12.5703125" customWidth="1"/>
    <col min="16137" max="16137" width="64.5703125" customWidth="1"/>
  </cols>
  <sheetData>
    <row r="1" spans="1:9" ht="26.25" thickBot="1" x14ac:dyDescent="0.3">
      <c r="A1" s="376" t="s">
        <v>475</v>
      </c>
      <c r="B1" s="376"/>
      <c r="C1" s="376"/>
      <c r="D1" s="376"/>
      <c r="E1" s="376"/>
      <c r="F1" s="376"/>
      <c r="G1" s="376"/>
      <c r="H1" s="376"/>
      <c r="I1" s="376"/>
    </row>
    <row r="2" spans="1:9" ht="24" thickBot="1" x14ac:dyDescent="0.3">
      <c r="A2" s="377" t="s">
        <v>476</v>
      </c>
      <c r="B2" s="378" t="s">
        <v>477</v>
      </c>
      <c r="C2" s="377" t="s">
        <v>478</v>
      </c>
      <c r="D2" s="379" t="s">
        <v>235</v>
      </c>
      <c r="E2" s="379" t="s">
        <v>236</v>
      </c>
      <c r="F2" s="379" t="s">
        <v>237</v>
      </c>
      <c r="G2" s="379" t="s">
        <v>238</v>
      </c>
      <c r="H2" s="379" t="s">
        <v>239</v>
      </c>
      <c r="I2" s="377" t="s">
        <v>479</v>
      </c>
    </row>
    <row r="3" spans="1:9" ht="75.75" thickBot="1" x14ac:dyDescent="0.3">
      <c r="A3" s="380" t="s">
        <v>480</v>
      </c>
      <c r="B3" s="381" t="s">
        <v>481</v>
      </c>
      <c r="C3" s="382" t="s">
        <v>482</v>
      </c>
      <c r="D3" s="383"/>
      <c r="E3" s="383"/>
      <c r="F3" s="383"/>
      <c r="G3" s="383"/>
      <c r="H3" s="383"/>
      <c r="I3" s="384" t="s">
        <v>483</v>
      </c>
    </row>
    <row r="4" spans="1:9" ht="150.75" thickBot="1" x14ac:dyDescent="0.3">
      <c r="A4" s="385"/>
      <c r="B4" s="381" t="s">
        <v>484</v>
      </c>
      <c r="C4" s="382" t="s">
        <v>485</v>
      </c>
      <c r="D4" s="383"/>
      <c r="E4" s="383"/>
      <c r="F4" s="383"/>
      <c r="G4" s="383"/>
      <c r="H4" s="383"/>
      <c r="I4" s="384" t="s">
        <v>486</v>
      </c>
    </row>
    <row r="5" spans="1:9" ht="75.75" thickBot="1" x14ac:dyDescent="0.3">
      <c r="A5" s="386" t="s">
        <v>487</v>
      </c>
      <c r="B5" s="381" t="s">
        <v>488</v>
      </c>
      <c r="C5" s="382" t="s">
        <v>489</v>
      </c>
      <c r="D5" s="383"/>
      <c r="E5" s="383"/>
      <c r="F5" s="383"/>
      <c r="G5" s="383"/>
      <c r="H5" s="383"/>
      <c r="I5" s="384" t="s">
        <v>490</v>
      </c>
    </row>
    <row r="6" spans="1:9" ht="105.75" thickBot="1" x14ac:dyDescent="0.3">
      <c r="A6" s="380"/>
      <c r="B6" s="381" t="s">
        <v>491</v>
      </c>
      <c r="C6" s="382" t="s">
        <v>492</v>
      </c>
      <c r="D6" s="383"/>
      <c r="E6" s="383"/>
      <c r="F6" s="383"/>
      <c r="G6" s="383"/>
      <c r="H6" s="383"/>
      <c r="I6" s="384" t="s">
        <v>493</v>
      </c>
    </row>
    <row r="7" spans="1:9" ht="75.75" thickBot="1" x14ac:dyDescent="0.3">
      <c r="A7" s="380"/>
      <c r="B7" s="381" t="s">
        <v>494</v>
      </c>
      <c r="C7" s="382" t="s">
        <v>495</v>
      </c>
      <c r="D7" s="383"/>
      <c r="E7" s="383"/>
      <c r="F7" s="383"/>
      <c r="G7" s="383"/>
      <c r="H7" s="383"/>
      <c r="I7" s="384" t="s">
        <v>496</v>
      </c>
    </row>
    <row r="8" spans="1:9" ht="75.75" thickBot="1" x14ac:dyDescent="0.3">
      <c r="A8" s="380"/>
      <c r="B8" s="381" t="s">
        <v>497</v>
      </c>
      <c r="C8" s="382" t="s">
        <v>498</v>
      </c>
      <c r="D8" s="383"/>
      <c r="E8" s="383"/>
      <c r="F8" s="383"/>
      <c r="G8" s="383"/>
      <c r="H8" s="383"/>
      <c r="I8" s="384" t="s">
        <v>499</v>
      </c>
    </row>
    <row r="9" spans="1:9" ht="75.75" thickBot="1" x14ac:dyDescent="0.3">
      <c r="A9" s="380"/>
      <c r="B9" s="381" t="s">
        <v>500</v>
      </c>
      <c r="C9" s="382" t="s">
        <v>501</v>
      </c>
      <c r="D9" s="383"/>
      <c r="E9" s="383"/>
      <c r="F9" s="383"/>
      <c r="G9" s="383"/>
      <c r="H9" s="383"/>
      <c r="I9" s="384" t="s">
        <v>502</v>
      </c>
    </row>
    <row r="10" spans="1:9" ht="75.75" thickBot="1" x14ac:dyDescent="0.3">
      <c r="A10" s="380"/>
      <c r="B10" s="381" t="s">
        <v>503</v>
      </c>
      <c r="C10" s="382" t="s">
        <v>504</v>
      </c>
      <c r="D10" s="383"/>
      <c r="E10" s="383"/>
      <c r="F10" s="383"/>
      <c r="G10" s="383"/>
      <c r="H10" s="383"/>
      <c r="I10" s="384" t="s">
        <v>505</v>
      </c>
    </row>
    <row r="11" spans="1:9" ht="26.25" thickBot="1" x14ac:dyDescent="0.3">
      <c r="A11" s="376" t="s">
        <v>475</v>
      </c>
      <c r="B11" s="376"/>
      <c r="C11" s="376"/>
      <c r="D11" s="376"/>
      <c r="E11" s="376"/>
      <c r="F11" s="376"/>
      <c r="G11" s="376"/>
      <c r="H11" s="376"/>
      <c r="I11" s="376"/>
    </row>
    <row r="12" spans="1:9" ht="24" thickBot="1" x14ac:dyDescent="0.3">
      <c r="A12" s="377" t="s">
        <v>476</v>
      </c>
      <c r="B12" s="378" t="s">
        <v>477</v>
      </c>
      <c r="C12" s="377" t="s">
        <v>478</v>
      </c>
      <c r="D12" s="379" t="s">
        <v>235</v>
      </c>
      <c r="E12" s="379" t="s">
        <v>236</v>
      </c>
      <c r="F12" s="379" t="s">
        <v>237</v>
      </c>
      <c r="G12" s="379" t="s">
        <v>238</v>
      </c>
      <c r="H12" s="379" t="s">
        <v>239</v>
      </c>
      <c r="I12" s="377" t="s">
        <v>479</v>
      </c>
    </row>
    <row r="13" spans="1:9" ht="75.75" thickBot="1" x14ac:dyDescent="0.3">
      <c r="A13" s="387" t="s">
        <v>506</v>
      </c>
      <c r="B13" s="381" t="s">
        <v>507</v>
      </c>
      <c r="C13" s="382" t="s">
        <v>508</v>
      </c>
      <c r="D13" s="383"/>
      <c r="E13" s="383"/>
      <c r="F13" s="383"/>
      <c r="G13" s="383"/>
      <c r="H13" s="383"/>
      <c r="I13" s="384" t="s">
        <v>509</v>
      </c>
    </row>
    <row r="14" spans="1:9" ht="108.75" thickBot="1" x14ac:dyDescent="0.3">
      <c r="A14" s="388"/>
      <c r="B14" s="381" t="s">
        <v>510</v>
      </c>
      <c r="C14" s="382" t="s">
        <v>511</v>
      </c>
      <c r="D14" s="383"/>
      <c r="E14" s="383"/>
      <c r="F14" s="383"/>
      <c r="G14" s="383"/>
      <c r="H14" s="383"/>
      <c r="I14" s="384" t="s">
        <v>512</v>
      </c>
    </row>
    <row r="15" spans="1:9" ht="75.75" thickBot="1" x14ac:dyDescent="0.3">
      <c r="A15" s="389"/>
      <c r="B15" s="381" t="s">
        <v>513</v>
      </c>
      <c r="C15" s="382" t="s">
        <v>514</v>
      </c>
      <c r="D15" s="383"/>
      <c r="E15" s="383"/>
      <c r="F15" s="383"/>
      <c r="G15" s="383"/>
      <c r="H15" s="383"/>
      <c r="I15" s="384" t="s">
        <v>515</v>
      </c>
    </row>
    <row r="16" spans="1:9" ht="60.75" thickBot="1" x14ac:dyDescent="0.3">
      <c r="A16" s="387" t="s">
        <v>516</v>
      </c>
      <c r="B16" s="381" t="s">
        <v>517</v>
      </c>
      <c r="C16" s="382" t="s">
        <v>518</v>
      </c>
      <c r="D16" s="383"/>
      <c r="E16" s="383"/>
      <c r="F16" s="383"/>
      <c r="G16" s="383"/>
      <c r="H16" s="383"/>
      <c r="I16" s="384" t="s">
        <v>519</v>
      </c>
    </row>
    <row r="17" spans="1:9" ht="75.75" thickBot="1" x14ac:dyDescent="0.3">
      <c r="A17" s="388"/>
      <c r="B17" s="381" t="s">
        <v>520</v>
      </c>
      <c r="C17" s="382" t="s">
        <v>521</v>
      </c>
      <c r="D17" s="383"/>
      <c r="E17" s="383"/>
      <c r="F17" s="383"/>
      <c r="G17" s="383"/>
      <c r="H17" s="383"/>
      <c r="I17" s="384" t="s">
        <v>522</v>
      </c>
    </row>
    <row r="18" spans="1:9" ht="90.75" thickBot="1" x14ac:dyDescent="0.3">
      <c r="A18" s="388"/>
      <c r="B18" s="381" t="s">
        <v>523</v>
      </c>
      <c r="C18" s="382" t="s">
        <v>524</v>
      </c>
      <c r="D18" s="383"/>
      <c r="E18" s="383"/>
      <c r="F18" s="383"/>
      <c r="G18" s="383"/>
      <c r="H18" s="383"/>
      <c r="I18" s="384" t="s">
        <v>525</v>
      </c>
    </row>
    <row r="19" spans="1:9" ht="150.75" thickBot="1" x14ac:dyDescent="0.3">
      <c r="A19" s="388"/>
      <c r="B19" s="381" t="s">
        <v>526</v>
      </c>
      <c r="C19" s="382" t="s">
        <v>527</v>
      </c>
      <c r="D19" s="383"/>
      <c r="E19" s="383"/>
      <c r="F19" s="383"/>
      <c r="G19" s="383"/>
      <c r="H19" s="383"/>
      <c r="I19" s="384" t="s">
        <v>528</v>
      </c>
    </row>
    <row r="20" spans="1:9" ht="90.75" thickBot="1" x14ac:dyDescent="0.3">
      <c r="A20" s="389"/>
      <c r="B20" s="381" t="s">
        <v>529</v>
      </c>
      <c r="C20" s="382" t="s">
        <v>530</v>
      </c>
      <c r="D20" s="383"/>
      <c r="E20" s="383"/>
      <c r="F20" s="383"/>
      <c r="G20" s="383"/>
      <c r="H20" s="383"/>
      <c r="I20" s="384" t="s">
        <v>531</v>
      </c>
    </row>
    <row r="21" spans="1:9" x14ac:dyDescent="0.25">
      <c r="C21" s="391"/>
      <c r="I21" s="393"/>
    </row>
    <row r="22" spans="1:9" x14ac:dyDescent="0.25">
      <c r="C22" s="391"/>
      <c r="I22" s="393"/>
    </row>
  </sheetData>
  <mergeCells count="6">
    <mergeCell ref="A1:I1"/>
    <mergeCell ref="A3:A4"/>
    <mergeCell ref="A5:A10"/>
    <mergeCell ref="A11:I11"/>
    <mergeCell ref="A13:A15"/>
    <mergeCell ref="A16:A20"/>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2"/>
  <sheetViews>
    <sheetView topLeftCell="E40" zoomScale="110" zoomScaleNormal="110" workbookViewId="0">
      <selection activeCell="F53" sqref="F53:F55"/>
    </sheetView>
  </sheetViews>
  <sheetFormatPr baseColWidth="10" defaultRowHeight="15" x14ac:dyDescent="0.25"/>
  <cols>
    <col min="1" max="1" width="55.42578125" bestFit="1" customWidth="1"/>
    <col min="3" max="3" width="12" bestFit="1" customWidth="1"/>
    <col min="4" max="4" width="13" bestFit="1" customWidth="1"/>
    <col min="5" max="5" width="11.5703125" bestFit="1" customWidth="1"/>
    <col min="6" max="6" width="17.28515625" bestFit="1" customWidth="1"/>
    <col min="9" max="9" width="13" bestFit="1" customWidth="1"/>
    <col min="12" max="12" width="13" bestFit="1" customWidth="1"/>
    <col min="15" max="15" width="13" bestFit="1" customWidth="1"/>
    <col min="18" max="18" width="13" bestFit="1" customWidth="1"/>
  </cols>
  <sheetData>
    <row r="1" spans="1:18" x14ac:dyDescent="0.25">
      <c r="A1" t="s">
        <v>40</v>
      </c>
    </row>
    <row r="2" spans="1:18" ht="30" customHeight="1" x14ac:dyDescent="0.25">
      <c r="A2" s="267" t="s">
        <v>45</v>
      </c>
      <c r="B2" s="267"/>
      <c r="C2" s="269" t="s">
        <v>44</v>
      </c>
      <c r="D2" s="267" t="s">
        <v>2</v>
      </c>
      <c r="E2" s="267"/>
      <c r="F2" s="267"/>
      <c r="G2" s="267" t="s">
        <v>3</v>
      </c>
      <c r="H2" s="267"/>
      <c r="I2" s="267"/>
      <c r="J2" s="267" t="s">
        <v>4</v>
      </c>
      <c r="K2" s="267"/>
      <c r="L2" s="267"/>
      <c r="M2" s="267" t="s">
        <v>5</v>
      </c>
      <c r="N2" s="267"/>
      <c r="O2" s="267"/>
      <c r="P2" s="267" t="s">
        <v>6</v>
      </c>
      <c r="Q2" s="267"/>
      <c r="R2" s="267"/>
    </row>
    <row r="3" spans="1:18" x14ac:dyDescent="0.25">
      <c r="A3" s="267"/>
      <c r="B3" s="267"/>
      <c r="C3" s="269"/>
      <c r="D3" s="2" t="s">
        <v>43</v>
      </c>
      <c r="E3" s="2" t="s">
        <v>41</v>
      </c>
      <c r="F3" s="2" t="s">
        <v>42</v>
      </c>
      <c r="G3" s="2" t="s">
        <v>43</v>
      </c>
      <c r="H3" s="2" t="s">
        <v>41</v>
      </c>
      <c r="I3" s="2" t="s">
        <v>42</v>
      </c>
      <c r="J3" s="2" t="s">
        <v>43</v>
      </c>
      <c r="K3" s="2" t="s">
        <v>41</v>
      </c>
      <c r="L3" s="2" t="s">
        <v>42</v>
      </c>
      <c r="M3" s="2" t="s">
        <v>43</v>
      </c>
      <c r="N3" s="2" t="s">
        <v>41</v>
      </c>
      <c r="O3" s="2" t="s">
        <v>42</v>
      </c>
      <c r="P3" s="2" t="s">
        <v>43</v>
      </c>
      <c r="Q3" s="2" t="s">
        <v>41</v>
      </c>
      <c r="R3" s="2" t="s">
        <v>42</v>
      </c>
    </row>
    <row r="4" spans="1:18" x14ac:dyDescent="0.25">
      <c r="A4" s="270" t="s">
        <v>46</v>
      </c>
      <c r="B4" s="270"/>
      <c r="C4" s="2"/>
      <c r="D4" s="2"/>
      <c r="E4" s="2"/>
      <c r="F4" s="2"/>
      <c r="G4" s="2"/>
      <c r="H4" s="5">
        <f>+'BASES DE CALCULO'!C5</f>
        <v>0.1245</v>
      </c>
      <c r="I4" s="2"/>
      <c r="J4" s="2"/>
      <c r="K4" s="5">
        <f>+'BASES DE CALCULO'!D5</f>
        <v>0.1084</v>
      </c>
      <c r="L4" s="2"/>
      <c r="M4" s="2"/>
      <c r="N4" s="5">
        <f>+'BASES DE CALCULO'!E5</f>
        <v>7.6100000000000001E-2</v>
      </c>
      <c r="O4" s="2"/>
      <c r="P4" s="2"/>
      <c r="Q4" s="3">
        <f>+'BASES DE CALCULO'!F5</f>
        <v>0.06</v>
      </c>
      <c r="R4" s="2"/>
    </row>
    <row r="5" spans="1:18" x14ac:dyDescent="0.25">
      <c r="A5" s="268" t="s">
        <v>47</v>
      </c>
      <c r="B5" s="268"/>
      <c r="C5" s="2"/>
      <c r="D5" s="2"/>
      <c r="E5" s="2"/>
      <c r="F5" s="2"/>
      <c r="G5" s="2"/>
      <c r="H5" s="2"/>
      <c r="I5" s="2"/>
      <c r="J5" s="2"/>
      <c r="K5" s="2"/>
      <c r="L5" s="2"/>
      <c r="M5" s="2"/>
      <c r="N5" s="2"/>
      <c r="O5" s="2"/>
      <c r="P5" s="2"/>
      <c r="Q5" s="2"/>
      <c r="R5" s="2"/>
    </row>
    <row r="6" spans="1:18" x14ac:dyDescent="0.25">
      <c r="A6" s="270" t="s">
        <v>48</v>
      </c>
      <c r="B6" s="270"/>
      <c r="C6" s="19" t="s">
        <v>56</v>
      </c>
      <c r="D6" s="31">
        <v>153659</v>
      </c>
      <c r="E6" s="31">
        <v>0.35399999999999998</v>
      </c>
      <c r="F6" s="31">
        <f>+D6*E6</f>
        <v>54395.286</v>
      </c>
      <c r="G6" s="31">
        <v>169161</v>
      </c>
      <c r="H6" s="40">
        <f>ROUND((E6*(1+$H$4)),3)</f>
        <v>0.39800000000000002</v>
      </c>
      <c r="I6" s="31">
        <f>+G6*H6</f>
        <v>67326.078000000009</v>
      </c>
      <c r="J6" s="31">
        <v>185124</v>
      </c>
      <c r="K6" s="40">
        <f>+H6*(1+K$4)</f>
        <v>0.44114320000000007</v>
      </c>
      <c r="L6" s="39">
        <f>+J6*K6</f>
        <v>81666.193756800014</v>
      </c>
      <c r="M6" s="31">
        <v>201561</v>
      </c>
      <c r="N6" s="40">
        <f>ROUND((K6*(1+$N$4)),3)</f>
        <v>0.47499999999999998</v>
      </c>
      <c r="O6" s="31">
        <f>+M6*N6</f>
        <v>95741.474999999991</v>
      </c>
      <c r="P6" s="31">
        <v>218481</v>
      </c>
      <c r="Q6" s="31">
        <f>ROUND((N6*(1+$Q$4)),3)</f>
        <v>0.504</v>
      </c>
      <c r="R6" s="31">
        <f>+P6*Q6</f>
        <v>110114.424</v>
      </c>
    </row>
    <row r="7" spans="1:18" x14ac:dyDescent="0.25">
      <c r="A7" s="268" t="s">
        <v>49</v>
      </c>
      <c r="B7" s="268"/>
      <c r="C7" s="19" t="s">
        <v>55</v>
      </c>
      <c r="D7" s="31">
        <v>106.4</v>
      </c>
      <c r="E7" s="31">
        <v>4500</v>
      </c>
      <c r="F7" s="31">
        <f t="shared" ref="F7:F12" si="0">+D7*E7</f>
        <v>478800</v>
      </c>
      <c r="G7" s="31">
        <v>117.2</v>
      </c>
      <c r="H7" s="31">
        <f t="shared" ref="H7:H12" si="1">ROUND((E7*(1+$H$4)),0)</f>
        <v>5060</v>
      </c>
      <c r="I7" s="31">
        <f t="shared" ref="I7:I12" si="2">+G7*H7</f>
        <v>593032</v>
      </c>
      <c r="J7" s="31">
        <v>128.19999999999999</v>
      </c>
      <c r="K7" s="40">
        <f t="shared" ref="K7:K12" si="3">+H7*(1+K$4)</f>
        <v>5608.5039999999999</v>
      </c>
      <c r="L7" s="39">
        <f t="shared" ref="L7:L12" si="4">+J7*K7</f>
        <v>719010.21279999998</v>
      </c>
      <c r="M7" s="31">
        <v>139.6</v>
      </c>
      <c r="N7" s="31">
        <v>6036</v>
      </c>
      <c r="O7" s="31">
        <f t="shared" ref="O7:O12" si="5">+M7*N7</f>
        <v>842625.6</v>
      </c>
      <c r="P7" s="31">
        <v>151.30000000000001</v>
      </c>
      <c r="Q7" s="31">
        <f t="shared" ref="Q7:Q12" si="6">ROUND((N7*(1+$Q$4)),0)</f>
        <v>6398</v>
      </c>
      <c r="R7" s="31">
        <f t="shared" ref="R7:R12" si="7">+P7*Q7</f>
        <v>968017.4</v>
      </c>
    </row>
    <row r="8" spans="1:18" x14ac:dyDescent="0.25">
      <c r="A8" s="270" t="s">
        <v>50</v>
      </c>
      <c r="B8" s="270"/>
      <c r="C8" s="19" t="s">
        <v>55</v>
      </c>
      <c r="D8" s="31">
        <v>136.1</v>
      </c>
      <c r="E8" s="31">
        <v>7500</v>
      </c>
      <c r="F8" s="31">
        <f t="shared" si="0"/>
        <v>1020750</v>
      </c>
      <c r="G8" s="31">
        <v>149.9</v>
      </c>
      <c r="H8" s="31">
        <f t="shared" si="1"/>
        <v>8434</v>
      </c>
      <c r="I8" s="31">
        <f t="shared" si="2"/>
        <v>1264256.6000000001</v>
      </c>
      <c r="J8" s="31">
        <v>164</v>
      </c>
      <c r="K8" s="40">
        <f t="shared" si="3"/>
        <v>9348.2456000000002</v>
      </c>
      <c r="L8" s="39">
        <f t="shared" si="4"/>
        <v>1533112.2784</v>
      </c>
      <c r="M8" s="31">
        <v>178.6</v>
      </c>
      <c r="N8" s="31">
        <v>10059</v>
      </c>
      <c r="O8" s="31">
        <f t="shared" si="5"/>
        <v>1796537.4</v>
      </c>
      <c r="P8" s="31">
        <v>193.6</v>
      </c>
      <c r="Q8" s="31">
        <f t="shared" si="6"/>
        <v>10663</v>
      </c>
      <c r="R8" s="31">
        <f t="shared" si="7"/>
        <v>2064356.8</v>
      </c>
    </row>
    <row r="9" spans="1:18" x14ac:dyDescent="0.25">
      <c r="A9" s="268" t="s">
        <v>51</v>
      </c>
      <c r="B9" s="268"/>
      <c r="C9" s="19" t="s">
        <v>55</v>
      </c>
      <c r="D9" s="31">
        <v>41.1</v>
      </c>
      <c r="E9" s="31">
        <v>7500</v>
      </c>
      <c r="F9" s="31">
        <f t="shared" si="0"/>
        <v>308250</v>
      </c>
      <c r="G9" s="31">
        <v>45.3</v>
      </c>
      <c r="H9" s="31">
        <f t="shared" si="1"/>
        <v>8434</v>
      </c>
      <c r="I9" s="31">
        <f t="shared" si="2"/>
        <v>382060.19999999995</v>
      </c>
      <c r="J9" s="31">
        <v>49.5</v>
      </c>
      <c r="K9" s="40">
        <f t="shared" si="3"/>
        <v>9348.2456000000002</v>
      </c>
      <c r="L9" s="39">
        <f t="shared" si="4"/>
        <v>462738.15720000002</v>
      </c>
      <c r="M9" s="31">
        <v>53.9</v>
      </c>
      <c r="N9" s="31">
        <v>10059</v>
      </c>
      <c r="O9" s="31">
        <f t="shared" si="5"/>
        <v>542180.1</v>
      </c>
      <c r="P9" s="31">
        <v>58.4</v>
      </c>
      <c r="Q9" s="31">
        <f t="shared" si="6"/>
        <v>10663</v>
      </c>
      <c r="R9" s="31">
        <f t="shared" si="7"/>
        <v>622719.19999999995</v>
      </c>
    </row>
    <row r="10" spans="1:18" x14ac:dyDescent="0.25">
      <c r="A10" s="270" t="s">
        <v>52</v>
      </c>
      <c r="B10" s="270"/>
      <c r="C10" s="19" t="s">
        <v>55</v>
      </c>
      <c r="D10" s="31">
        <v>4234.8999999999996</v>
      </c>
      <c r="E10" s="31">
        <v>3000</v>
      </c>
      <c r="F10" s="31">
        <f t="shared" si="0"/>
        <v>12704699.999999998</v>
      </c>
      <c r="G10" s="31">
        <v>4662.1000000000004</v>
      </c>
      <c r="H10" s="31">
        <f t="shared" si="1"/>
        <v>3374</v>
      </c>
      <c r="I10" s="31">
        <f t="shared" si="2"/>
        <v>15729925.4</v>
      </c>
      <c r="J10" s="31">
        <v>5102.1000000000004</v>
      </c>
      <c r="K10" s="40">
        <f t="shared" si="3"/>
        <v>3739.7416000000003</v>
      </c>
      <c r="L10" s="39">
        <f t="shared" si="4"/>
        <v>19080535.617360003</v>
      </c>
      <c r="M10" s="31">
        <v>5555.1</v>
      </c>
      <c r="N10" s="31">
        <v>4025</v>
      </c>
      <c r="O10" s="31">
        <f t="shared" si="5"/>
        <v>22359277.5</v>
      </c>
      <c r="P10" s="31">
        <v>6021.4</v>
      </c>
      <c r="Q10" s="31">
        <f t="shared" si="6"/>
        <v>4267</v>
      </c>
      <c r="R10" s="31">
        <f t="shared" si="7"/>
        <v>25693313.799999997</v>
      </c>
    </row>
    <row r="11" spans="1:18" x14ac:dyDescent="0.25">
      <c r="A11" s="268" t="s">
        <v>53</v>
      </c>
      <c r="B11" s="268"/>
      <c r="C11" s="19" t="s">
        <v>55</v>
      </c>
      <c r="D11" s="31">
        <v>4234.8999999999996</v>
      </c>
      <c r="E11" s="31">
        <v>4500</v>
      </c>
      <c r="F11" s="31">
        <f t="shared" si="0"/>
        <v>19057050</v>
      </c>
      <c r="G11" s="31">
        <v>4662.1000000000004</v>
      </c>
      <c r="H11" s="31">
        <f t="shared" si="1"/>
        <v>5060</v>
      </c>
      <c r="I11" s="31">
        <f t="shared" si="2"/>
        <v>23590226</v>
      </c>
      <c r="J11" s="31">
        <v>5102.1000000000004</v>
      </c>
      <c r="K11" s="40">
        <f t="shared" si="3"/>
        <v>5608.5039999999999</v>
      </c>
      <c r="L11" s="39">
        <f t="shared" si="4"/>
        <v>28615148.258400001</v>
      </c>
      <c r="M11" s="31">
        <v>5555.1</v>
      </c>
      <c r="N11" s="31">
        <v>6036</v>
      </c>
      <c r="O11" s="31">
        <f t="shared" si="5"/>
        <v>33530583.600000001</v>
      </c>
      <c r="P11" s="31">
        <v>6021.4</v>
      </c>
      <c r="Q11" s="31">
        <f t="shared" si="6"/>
        <v>6398</v>
      </c>
      <c r="R11" s="31">
        <f t="shared" si="7"/>
        <v>38524917.199999996</v>
      </c>
    </row>
    <row r="12" spans="1:18" ht="15.75" thickBot="1" x14ac:dyDescent="0.3">
      <c r="A12" s="273" t="s">
        <v>54</v>
      </c>
      <c r="B12" s="273"/>
      <c r="C12" s="30" t="s">
        <v>55</v>
      </c>
      <c r="D12" s="31">
        <v>50.8</v>
      </c>
      <c r="E12" s="31">
        <v>4800</v>
      </c>
      <c r="F12" s="32">
        <f t="shared" si="0"/>
        <v>243840</v>
      </c>
      <c r="G12" s="31">
        <v>55.9</v>
      </c>
      <c r="H12" s="31">
        <f t="shared" si="1"/>
        <v>5398</v>
      </c>
      <c r="I12" s="32">
        <f t="shared" si="2"/>
        <v>301748.2</v>
      </c>
      <c r="J12" s="31">
        <v>61.1</v>
      </c>
      <c r="K12" s="40">
        <f t="shared" si="3"/>
        <v>5983.1432000000004</v>
      </c>
      <c r="L12" s="39">
        <f t="shared" si="4"/>
        <v>365570.04952000006</v>
      </c>
      <c r="M12" s="31">
        <v>66.599999999999994</v>
      </c>
      <c r="N12" s="31">
        <f t="shared" ref="N12" si="8">ROUND((K12*(1+$N$4)),0)</f>
        <v>6438</v>
      </c>
      <c r="O12" s="32">
        <f t="shared" si="5"/>
        <v>428770.8</v>
      </c>
      <c r="P12" s="31">
        <v>72.099999999999994</v>
      </c>
      <c r="Q12" s="31">
        <f t="shared" si="6"/>
        <v>6824</v>
      </c>
      <c r="R12" s="32">
        <f t="shared" si="7"/>
        <v>492010.39999999997</v>
      </c>
    </row>
    <row r="13" spans="1:18" s="4" customFormat="1" ht="15.75" thickBot="1" x14ac:dyDescent="0.3">
      <c r="A13" s="271" t="s">
        <v>57</v>
      </c>
      <c r="B13" s="272"/>
      <c r="C13" s="35"/>
      <c r="D13" s="36"/>
      <c r="E13" s="36"/>
      <c r="F13" s="38">
        <f t="shared" ref="F13:R13" si="9">SUM(F6:F12)</f>
        <v>33867785.285999998</v>
      </c>
      <c r="G13" s="38"/>
      <c r="H13" s="36"/>
      <c r="I13" s="38">
        <f t="shared" si="9"/>
        <v>41928574.478</v>
      </c>
      <c r="J13" s="38"/>
      <c r="K13" s="36"/>
      <c r="L13" s="38">
        <v>50861606</v>
      </c>
      <c r="M13" s="38"/>
      <c r="N13" s="36"/>
      <c r="O13" s="38">
        <f t="shared" si="9"/>
        <v>59595716.474999994</v>
      </c>
      <c r="P13" s="38"/>
      <c r="Q13" s="36"/>
      <c r="R13" s="37">
        <f t="shared" si="9"/>
        <v>68475449.224000007</v>
      </c>
    </row>
    <row r="14" spans="1:18" x14ac:dyDescent="0.25">
      <c r="A14" s="274" t="s">
        <v>65</v>
      </c>
      <c r="B14" s="274"/>
      <c r="C14" s="33"/>
      <c r="D14" s="33"/>
      <c r="E14" s="33"/>
      <c r="F14" s="33"/>
      <c r="G14" s="33"/>
      <c r="H14" s="33"/>
      <c r="I14" s="33"/>
      <c r="J14" s="34"/>
      <c r="K14" s="34"/>
      <c r="L14" s="34"/>
      <c r="M14" s="34"/>
      <c r="N14" s="34"/>
      <c r="O14" s="34"/>
      <c r="P14" s="34"/>
      <c r="Q14" s="34"/>
      <c r="R14" s="34"/>
    </row>
    <row r="15" spans="1:18" x14ac:dyDescent="0.25">
      <c r="A15" s="270" t="s">
        <v>58</v>
      </c>
      <c r="B15" s="270"/>
      <c r="C15" s="31" t="s">
        <v>86</v>
      </c>
      <c r="D15" s="31">
        <v>7.7</v>
      </c>
      <c r="E15" s="31">
        <v>31000</v>
      </c>
      <c r="F15" s="31">
        <f t="shared" ref="F15:F20" si="10">D15*E15</f>
        <v>238700</v>
      </c>
      <c r="G15" s="31">
        <v>8.4700000000000006</v>
      </c>
      <c r="H15" s="31">
        <f t="shared" ref="H15:H20" si="11">ROUND((E15*(1+$H$4)),0)</f>
        <v>34860</v>
      </c>
      <c r="I15" s="31">
        <f t="shared" ref="I15:I20" si="12">G15*H15</f>
        <v>295264.2</v>
      </c>
      <c r="J15" s="31">
        <v>9.27</v>
      </c>
      <c r="K15" s="31">
        <f t="shared" ref="K15:K20" si="13">ROUND((H15*(1+$K$4)),3)</f>
        <v>38638.824000000001</v>
      </c>
      <c r="L15" s="31">
        <f t="shared" ref="L15:L20" si="14">J15*K15</f>
        <v>358181.89847999997</v>
      </c>
      <c r="M15" s="31">
        <v>10.09</v>
      </c>
      <c r="N15" s="31">
        <f t="shared" ref="N15:N20" si="15">ROUND((K15*(1+$N$4)),0)</f>
        <v>41579</v>
      </c>
      <c r="O15" s="31">
        <f t="shared" ref="O15:O20" si="16">M15*N15</f>
        <v>419532.11</v>
      </c>
      <c r="P15" s="31">
        <v>10.94</v>
      </c>
      <c r="Q15" s="31">
        <f t="shared" ref="Q15:Q20" si="17">ROUND((N15*(1+$Q$4)),0)</f>
        <v>44074</v>
      </c>
      <c r="R15" s="31">
        <f t="shared" ref="R15:R20" si="18">P15*Q15</f>
        <v>482169.56</v>
      </c>
    </row>
    <row r="16" spans="1:18" x14ac:dyDescent="0.25">
      <c r="A16" s="270" t="s">
        <v>59</v>
      </c>
      <c r="B16" s="270"/>
      <c r="C16" s="31" t="s">
        <v>86</v>
      </c>
      <c r="D16" s="31">
        <v>7.7</v>
      </c>
      <c r="E16" s="31">
        <v>37000</v>
      </c>
      <c r="F16" s="31">
        <f t="shared" si="10"/>
        <v>284900</v>
      </c>
      <c r="G16" s="31">
        <v>8.4700000000000006</v>
      </c>
      <c r="H16" s="31">
        <f t="shared" si="11"/>
        <v>41607</v>
      </c>
      <c r="I16" s="31">
        <f t="shared" si="12"/>
        <v>352411.29000000004</v>
      </c>
      <c r="J16" s="31">
        <v>9.27</v>
      </c>
      <c r="K16" s="31">
        <f t="shared" si="13"/>
        <v>46117.199000000001</v>
      </c>
      <c r="L16" s="31">
        <f t="shared" si="14"/>
        <v>427506.43472999998</v>
      </c>
      <c r="M16" s="31">
        <v>10.09</v>
      </c>
      <c r="N16" s="31">
        <f t="shared" si="15"/>
        <v>49627</v>
      </c>
      <c r="O16" s="31">
        <f t="shared" si="16"/>
        <v>500736.43</v>
      </c>
      <c r="P16" s="31">
        <v>10.94</v>
      </c>
      <c r="Q16" s="31">
        <f t="shared" si="17"/>
        <v>52605</v>
      </c>
      <c r="R16" s="31">
        <f t="shared" si="18"/>
        <v>575498.69999999995</v>
      </c>
    </row>
    <row r="17" spans="1:18" x14ac:dyDescent="0.25">
      <c r="A17" s="270" t="s">
        <v>60</v>
      </c>
      <c r="B17" s="270"/>
      <c r="C17" s="31" t="s">
        <v>86</v>
      </c>
      <c r="D17" s="31">
        <v>7.7</v>
      </c>
      <c r="E17" s="31">
        <v>31000</v>
      </c>
      <c r="F17" s="31">
        <f t="shared" si="10"/>
        <v>238700</v>
      </c>
      <c r="G17" s="31">
        <v>8.4700000000000006</v>
      </c>
      <c r="H17" s="31">
        <f t="shared" si="11"/>
        <v>34860</v>
      </c>
      <c r="I17" s="31">
        <f t="shared" si="12"/>
        <v>295264.2</v>
      </c>
      <c r="J17" s="31">
        <v>9.27</v>
      </c>
      <c r="K17" s="31">
        <f t="shared" si="13"/>
        <v>38638.824000000001</v>
      </c>
      <c r="L17" s="31">
        <f t="shared" si="14"/>
        <v>358181.89847999997</v>
      </c>
      <c r="M17" s="31">
        <v>10.09</v>
      </c>
      <c r="N17" s="31">
        <f t="shared" si="15"/>
        <v>41579</v>
      </c>
      <c r="O17" s="31">
        <f t="shared" si="16"/>
        <v>419532.11</v>
      </c>
      <c r="P17" s="31">
        <v>10.94</v>
      </c>
      <c r="Q17" s="31">
        <f t="shared" si="17"/>
        <v>44074</v>
      </c>
      <c r="R17" s="31">
        <f t="shared" si="18"/>
        <v>482169.56</v>
      </c>
    </row>
    <row r="18" spans="1:18" x14ac:dyDescent="0.25">
      <c r="A18" s="270" t="s">
        <v>61</v>
      </c>
      <c r="B18" s="270"/>
      <c r="C18" s="31" t="s">
        <v>86</v>
      </c>
      <c r="D18" s="31">
        <v>7.7</v>
      </c>
      <c r="E18" s="31">
        <v>25600</v>
      </c>
      <c r="F18" s="31">
        <f t="shared" si="10"/>
        <v>197120</v>
      </c>
      <c r="G18" s="31">
        <v>8.4700000000000006</v>
      </c>
      <c r="H18" s="31">
        <f t="shared" si="11"/>
        <v>28787</v>
      </c>
      <c r="I18" s="31">
        <f t="shared" si="12"/>
        <v>243825.89</v>
      </c>
      <c r="J18" s="31">
        <v>9.27</v>
      </c>
      <c r="K18" s="31">
        <f t="shared" si="13"/>
        <v>31907.510999999999</v>
      </c>
      <c r="L18" s="31">
        <f t="shared" si="14"/>
        <v>295782.62696999998</v>
      </c>
      <c r="M18" s="31">
        <v>10.09</v>
      </c>
      <c r="N18" s="31">
        <f t="shared" si="15"/>
        <v>34336</v>
      </c>
      <c r="O18" s="31">
        <f t="shared" si="16"/>
        <v>346450.24</v>
      </c>
      <c r="P18" s="31">
        <v>10.94</v>
      </c>
      <c r="Q18" s="31">
        <f t="shared" si="17"/>
        <v>36396</v>
      </c>
      <c r="R18" s="31">
        <f t="shared" si="18"/>
        <v>398172.24</v>
      </c>
    </row>
    <row r="19" spans="1:18" x14ac:dyDescent="0.25">
      <c r="A19" s="270" t="s">
        <v>62</v>
      </c>
      <c r="B19" s="270"/>
      <c r="C19" s="31" t="s">
        <v>86</v>
      </c>
      <c r="D19" s="31">
        <v>7.7</v>
      </c>
      <c r="E19" s="31">
        <v>20400</v>
      </c>
      <c r="F19" s="31">
        <f t="shared" si="10"/>
        <v>157080</v>
      </c>
      <c r="G19" s="31">
        <v>8.4700000000000006</v>
      </c>
      <c r="H19" s="31">
        <f t="shared" si="11"/>
        <v>22940</v>
      </c>
      <c r="I19" s="31">
        <f t="shared" si="12"/>
        <v>194301.80000000002</v>
      </c>
      <c r="J19" s="31">
        <v>9.27</v>
      </c>
      <c r="K19" s="31">
        <f t="shared" si="13"/>
        <v>25426.696</v>
      </c>
      <c r="L19" s="31">
        <f t="shared" si="14"/>
        <v>235705.47191999998</v>
      </c>
      <c r="M19" s="31">
        <v>10.09</v>
      </c>
      <c r="N19" s="31">
        <f t="shared" si="15"/>
        <v>27362</v>
      </c>
      <c r="O19" s="31">
        <f t="shared" si="16"/>
        <v>276082.58</v>
      </c>
      <c r="P19" s="31">
        <v>10.94</v>
      </c>
      <c r="Q19" s="31">
        <f t="shared" si="17"/>
        <v>29004</v>
      </c>
      <c r="R19" s="31">
        <f t="shared" si="18"/>
        <v>317303.76</v>
      </c>
    </row>
    <row r="20" spans="1:18" ht="15.75" thickBot="1" x14ac:dyDescent="0.3">
      <c r="A20" s="273" t="s">
        <v>63</v>
      </c>
      <c r="B20" s="273"/>
      <c r="C20" s="32" t="s">
        <v>86</v>
      </c>
      <c r="D20" s="32">
        <v>7.7</v>
      </c>
      <c r="E20" s="32">
        <v>40000</v>
      </c>
      <c r="F20" s="32">
        <f t="shared" si="10"/>
        <v>308000</v>
      </c>
      <c r="G20" s="31">
        <v>8.4700000000000006</v>
      </c>
      <c r="H20" s="32">
        <f t="shared" si="11"/>
        <v>44980</v>
      </c>
      <c r="I20" s="32">
        <f t="shared" si="12"/>
        <v>380980.60000000003</v>
      </c>
      <c r="J20" s="31">
        <v>9.27</v>
      </c>
      <c r="K20" s="32">
        <f t="shared" si="13"/>
        <v>49855.832000000002</v>
      </c>
      <c r="L20" s="32">
        <f t="shared" si="14"/>
        <v>462163.56264000002</v>
      </c>
      <c r="M20" s="31">
        <v>10.09</v>
      </c>
      <c r="N20" s="32">
        <f t="shared" si="15"/>
        <v>53650</v>
      </c>
      <c r="O20" s="32">
        <f t="shared" si="16"/>
        <v>541328.5</v>
      </c>
      <c r="P20" s="31">
        <v>10.94</v>
      </c>
      <c r="Q20" s="32">
        <f t="shared" si="17"/>
        <v>56869</v>
      </c>
      <c r="R20" s="32">
        <f t="shared" si="18"/>
        <v>622146.86</v>
      </c>
    </row>
    <row r="21" spans="1:18" ht="15.75" thickBot="1" x14ac:dyDescent="0.3">
      <c r="A21" s="275" t="s">
        <v>64</v>
      </c>
      <c r="B21" s="276"/>
      <c r="C21" s="41"/>
      <c r="D21" s="41"/>
      <c r="E21" s="41"/>
      <c r="F21" s="38">
        <f>SUM(F15:F20)</f>
        <v>1424500</v>
      </c>
      <c r="G21" s="36"/>
      <c r="H21" s="36"/>
      <c r="I21" s="38">
        <f t="shared" ref="I21:R21" si="19">SUM(I15:I20)</f>
        <v>1762047.9800000002</v>
      </c>
      <c r="J21" s="36"/>
      <c r="K21" s="36"/>
      <c r="L21" s="38">
        <f t="shared" si="19"/>
        <v>2137521.89322</v>
      </c>
      <c r="M21" s="36"/>
      <c r="N21" s="36"/>
      <c r="O21" s="38">
        <f t="shared" si="19"/>
        <v>2503661.9699999997</v>
      </c>
      <c r="P21" s="36"/>
      <c r="Q21" s="36"/>
      <c r="R21" s="37">
        <f t="shared" si="19"/>
        <v>2877460.68</v>
      </c>
    </row>
    <row r="22" spans="1:18" x14ac:dyDescent="0.25">
      <c r="A22" s="274" t="s">
        <v>66</v>
      </c>
      <c r="B22" s="274"/>
      <c r="C22" s="33"/>
      <c r="D22" s="33"/>
      <c r="E22" s="33"/>
      <c r="F22" s="33"/>
      <c r="G22" s="33"/>
      <c r="H22" s="33"/>
      <c r="I22" s="33"/>
      <c r="J22" s="34"/>
      <c r="K22" s="34"/>
      <c r="L22" s="34"/>
      <c r="M22" s="34"/>
      <c r="N22" s="34"/>
      <c r="O22" s="34"/>
      <c r="P22" s="34"/>
      <c r="Q22" s="34"/>
      <c r="R22" s="34"/>
    </row>
    <row r="23" spans="1:18" x14ac:dyDescent="0.25">
      <c r="A23" s="270" t="s">
        <v>67</v>
      </c>
      <c r="B23" s="270"/>
      <c r="C23" s="31" t="s">
        <v>86</v>
      </c>
      <c r="D23" s="31">
        <v>12.8</v>
      </c>
      <c r="E23" s="31">
        <v>30000</v>
      </c>
      <c r="F23" s="31">
        <f t="shared" ref="F23:F28" si="20">D23*E23</f>
        <v>384000</v>
      </c>
      <c r="G23" s="31">
        <v>14.1</v>
      </c>
      <c r="H23" s="31">
        <f t="shared" ref="H23:H28" si="21">ROUND((E23*(1+$H$4)),0)</f>
        <v>33735</v>
      </c>
      <c r="I23" s="31">
        <f t="shared" ref="I23:I28" si="22">G23*H23</f>
        <v>475663.5</v>
      </c>
      <c r="J23" s="31">
        <v>15.5</v>
      </c>
      <c r="K23" s="31">
        <f t="shared" ref="K23:K28" si="23">ROUND((H23*(1+$K$4)),0)</f>
        <v>37392</v>
      </c>
      <c r="L23" s="31">
        <f t="shared" ref="L23:L28" si="24">J23*K23</f>
        <v>579576</v>
      </c>
      <c r="M23" s="31">
        <v>16.8</v>
      </c>
      <c r="N23" s="31">
        <f t="shared" ref="N23:N28" si="25">ROUND((K23*(1+$N$4)),0)</f>
        <v>40238</v>
      </c>
      <c r="O23" s="31">
        <f t="shared" ref="O23:O28" si="26">M23*N23</f>
        <v>675998.4</v>
      </c>
      <c r="P23" s="31">
        <v>18.22</v>
      </c>
      <c r="Q23" s="31">
        <f t="shared" ref="Q23:Q28" si="27">ROUND((N23*(1+$Q$4)),0)</f>
        <v>42652</v>
      </c>
      <c r="R23" s="31">
        <f t="shared" ref="R23:R28" si="28">P23*Q23</f>
        <v>777119.44</v>
      </c>
    </row>
    <row r="24" spans="1:18" x14ac:dyDescent="0.25">
      <c r="A24" s="270" t="s">
        <v>68</v>
      </c>
      <c r="B24" s="270"/>
      <c r="C24" s="31" t="s">
        <v>86</v>
      </c>
      <c r="D24" s="31">
        <v>12.8</v>
      </c>
      <c r="E24" s="31">
        <v>26000</v>
      </c>
      <c r="F24" s="31">
        <f t="shared" si="20"/>
        <v>332800</v>
      </c>
      <c r="G24" s="31">
        <v>14.1</v>
      </c>
      <c r="H24" s="31">
        <f t="shared" si="21"/>
        <v>29237</v>
      </c>
      <c r="I24" s="31">
        <f t="shared" si="22"/>
        <v>412241.7</v>
      </c>
      <c r="J24" s="31">
        <v>15.5</v>
      </c>
      <c r="K24" s="31">
        <f t="shared" si="23"/>
        <v>32406</v>
      </c>
      <c r="L24" s="31">
        <f t="shared" si="24"/>
        <v>502293</v>
      </c>
      <c r="M24" s="31">
        <v>16.8</v>
      </c>
      <c r="N24" s="31">
        <f t="shared" si="25"/>
        <v>34872</v>
      </c>
      <c r="O24" s="31">
        <f t="shared" si="26"/>
        <v>585849.59999999998</v>
      </c>
      <c r="P24" s="31">
        <v>18.22</v>
      </c>
      <c r="Q24" s="31">
        <f t="shared" si="27"/>
        <v>36964</v>
      </c>
      <c r="R24" s="31">
        <f t="shared" si="28"/>
        <v>673484.08</v>
      </c>
    </row>
    <row r="25" spans="1:18" x14ac:dyDescent="0.25">
      <c r="A25" s="270" t="s">
        <v>69</v>
      </c>
      <c r="B25" s="270"/>
      <c r="C25" s="31" t="s">
        <v>86</v>
      </c>
      <c r="D25" s="31">
        <v>12.8</v>
      </c>
      <c r="E25" s="31">
        <v>25000</v>
      </c>
      <c r="F25" s="31">
        <f t="shared" si="20"/>
        <v>320000</v>
      </c>
      <c r="G25" s="31">
        <v>14.1</v>
      </c>
      <c r="H25" s="31">
        <f t="shared" si="21"/>
        <v>28113</v>
      </c>
      <c r="I25" s="31">
        <f t="shared" si="22"/>
        <v>396393.3</v>
      </c>
      <c r="J25" s="31">
        <v>15.5</v>
      </c>
      <c r="K25" s="31">
        <f t="shared" si="23"/>
        <v>31160</v>
      </c>
      <c r="L25" s="31">
        <f t="shared" si="24"/>
        <v>482980</v>
      </c>
      <c r="M25" s="31">
        <v>16.8</v>
      </c>
      <c r="N25" s="31">
        <f t="shared" si="25"/>
        <v>33531</v>
      </c>
      <c r="O25" s="31">
        <f t="shared" si="26"/>
        <v>563320.80000000005</v>
      </c>
      <c r="P25" s="31">
        <v>18.22</v>
      </c>
      <c r="Q25" s="31">
        <f t="shared" si="27"/>
        <v>35543</v>
      </c>
      <c r="R25" s="31">
        <f t="shared" si="28"/>
        <v>647593.46</v>
      </c>
    </row>
    <row r="26" spans="1:18" x14ac:dyDescent="0.25">
      <c r="A26" s="270" t="s">
        <v>70</v>
      </c>
      <c r="B26" s="270"/>
      <c r="C26" s="31" t="s">
        <v>86</v>
      </c>
      <c r="D26" s="31">
        <v>12.8</v>
      </c>
      <c r="E26" s="31">
        <v>27500</v>
      </c>
      <c r="F26" s="31">
        <f t="shared" si="20"/>
        <v>352000</v>
      </c>
      <c r="G26" s="31">
        <v>14.1</v>
      </c>
      <c r="H26" s="31">
        <f t="shared" si="21"/>
        <v>30924</v>
      </c>
      <c r="I26" s="31">
        <f t="shared" si="22"/>
        <v>436028.39999999997</v>
      </c>
      <c r="J26" s="31">
        <v>15.5</v>
      </c>
      <c r="K26" s="31">
        <f t="shared" si="23"/>
        <v>34276</v>
      </c>
      <c r="L26" s="31">
        <f t="shared" si="24"/>
        <v>531278</v>
      </c>
      <c r="M26" s="31">
        <v>16.8</v>
      </c>
      <c r="N26" s="31">
        <f t="shared" si="25"/>
        <v>36884</v>
      </c>
      <c r="O26" s="31">
        <f t="shared" si="26"/>
        <v>619651.20000000007</v>
      </c>
      <c r="P26" s="31">
        <v>18.22</v>
      </c>
      <c r="Q26" s="31">
        <f t="shared" si="27"/>
        <v>39097</v>
      </c>
      <c r="R26" s="31">
        <f t="shared" si="28"/>
        <v>712347.34</v>
      </c>
    </row>
    <row r="27" spans="1:18" x14ac:dyDescent="0.25">
      <c r="A27" s="270" t="s">
        <v>71</v>
      </c>
      <c r="B27" s="270"/>
      <c r="C27" s="31" t="s">
        <v>86</v>
      </c>
      <c r="D27" s="31">
        <v>12.8</v>
      </c>
      <c r="E27" s="31">
        <v>27000</v>
      </c>
      <c r="F27" s="31">
        <f t="shared" si="20"/>
        <v>345600</v>
      </c>
      <c r="G27" s="31">
        <v>14.1</v>
      </c>
      <c r="H27" s="31">
        <f t="shared" si="21"/>
        <v>30362</v>
      </c>
      <c r="I27" s="31">
        <f t="shared" si="22"/>
        <v>428104.2</v>
      </c>
      <c r="J27" s="31">
        <v>15.5</v>
      </c>
      <c r="K27" s="31">
        <f t="shared" si="23"/>
        <v>33653</v>
      </c>
      <c r="L27" s="31">
        <f t="shared" si="24"/>
        <v>521621.5</v>
      </c>
      <c r="M27" s="31">
        <v>16.8</v>
      </c>
      <c r="N27" s="31">
        <f t="shared" si="25"/>
        <v>36214</v>
      </c>
      <c r="O27" s="31">
        <f t="shared" si="26"/>
        <v>608395.20000000007</v>
      </c>
      <c r="P27" s="31">
        <v>18.22</v>
      </c>
      <c r="Q27" s="31">
        <f t="shared" si="27"/>
        <v>38387</v>
      </c>
      <c r="R27" s="31">
        <f t="shared" si="28"/>
        <v>699411.14</v>
      </c>
    </row>
    <row r="28" spans="1:18" ht="15.75" thickBot="1" x14ac:dyDescent="0.3">
      <c r="A28" s="273" t="s">
        <v>72</v>
      </c>
      <c r="B28" s="273"/>
      <c r="C28" s="32" t="s">
        <v>86</v>
      </c>
      <c r="D28" s="32">
        <v>12.8</v>
      </c>
      <c r="E28" s="32">
        <v>22000</v>
      </c>
      <c r="F28" s="32">
        <f t="shared" si="20"/>
        <v>281600</v>
      </c>
      <c r="G28" s="32">
        <v>14.1</v>
      </c>
      <c r="H28" s="32">
        <f t="shared" si="21"/>
        <v>24739</v>
      </c>
      <c r="I28" s="32">
        <f t="shared" si="22"/>
        <v>348819.89999999997</v>
      </c>
      <c r="J28" s="32">
        <v>15.5</v>
      </c>
      <c r="K28" s="32">
        <f t="shared" si="23"/>
        <v>27421</v>
      </c>
      <c r="L28" s="32">
        <f t="shared" si="24"/>
        <v>425025.5</v>
      </c>
      <c r="M28" s="32">
        <v>16.8</v>
      </c>
      <c r="N28" s="32">
        <f t="shared" si="25"/>
        <v>29508</v>
      </c>
      <c r="O28" s="32">
        <f t="shared" si="26"/>
        <v>495734.4</v>
      </c>
      <c r="P28" s="31">
        <v>18.22</v>
      </c>
      <c r="Q28" s="32">
        <f t="shared" si="27"/>
        <v>31278</v>
      </c>
      <c r="R28" s="32">
        <f t="shared" si="28"/>
        <v>569885.15999999992</v>
      </c>
    </row>
    <row r="29" spans="1:18" ht="15.75" customHeight="1" thickBot="1" x14ac:dyDescent="0.3">
      <c r="A29" s="275" t="s">
        <v>73</v>
      </c>
      <c r="B29" s="276"/>
      <c r="C29" s="43"/>
      <c r="D29" s="43"/>
      <c r="E29" s="43"/>
      <c r="F29" s="44">
        <f>SUM(F23:F28)</f>
        <v>2016000</v>
      </c>
      <c r="G29" s="44">
        <f t="shared" ref="G29:R29" si="29">SUM(G23:G28)</f>
        <v>84.6</v>
      </c>
      <c r="H29" s="44">
        <f t="shared" si="29"/>
        <v>177110</v>
      </c>
      <c r="I29" s="44">
        <f t="shared" si="29"/>
        <v>2497251</v>
      </c>
      <c r="J29" s="44">
        <f t="shared" si="29"/>
        <v>93</v>
      </c>
      <c r="K29" s="44">
        <f t="shared" si="29"/>
        <v>196308</v>
      </c>
      <c r="L29" s="44">
        <f t="shared" si="29"/>
        <v>3042774</v>
      </c>
      <c r="M29" s="44">
        <f t="shared" si="29"/>
        <v>100.8</v>
      </c>
      <c r="N29" s="44">
        <f t="shared" si="29"/>
        <v>211247</v>
      </c>
      <c r="O29" s="44">
        <f t="shared" si="29"/>
        <v>3548949.6</v>
      </c>
      <c r="P29" s="44">
        <f t="shared" si="29"/>
        <v>109.32</v>
      </c>
      <c r="Q29" s="44">
        <f t="shared" si="29"/>
        <v>223921</v>
      </c>
      <c r="R29" s="45">
        <f t="shared" si="29"/>
        <v>4079840.62</v>
      </c>
    </row>
    <row r="30" spans="1:18" ht="15.75" thickBot="1" x14ac:dyDescent="0.3">
      <c r="A30" s="271" t="s">
        <v>74</v>
      </c>
      <c r="B30" s="272"/>
      <c r="C30" s="46"/>
      <c r="D30" s="46"/>
      <c r="E30" s="46"/>
      <c r="F30" s="44">
        <f>+F13+F21+F29</f>
        <v>37308285.285999998</v>
      </c>
      <c r="G30" s="44"/>
      <c r="H30" s="44"/>
      <c r="I30" s="44">
        <f t="shared" ref="I30:R30" si="30">+I13+I21+I29</f>
        <v>46187873.457999997</v>
      </c>
      <c r="J30" s="44"/>
      <c r="K30" s="44"/>
      <c r="L30" s="44">
        <f t="shared" si="30"/>
        <v>56041901.89322</v>
      </c>
      <c r="M30" s="44"/>
      <c r="N30" s="44"/>
      <c r="O30" s="44">
        <f t="shared" si="30"/>
        <v>65648328.044999994</v>
      </c>
      <c r="P30" s="44"/>
      <c r="Q30" s="44"/>
      <c r="R30" s="45">
        <f t="shared" si="30"/>
        <v>75432750.524000019</v>
      </c>
    </row>
    <row r="31" spans="1:18" x14ac:dyDescent="0.25">
      <c r="A31" s="274" t="s">
        <v>75</v>
      </c>
      <c r="B31" s="274"/>
      <c r="C31" s="42"/>
      <c r="D31" s="42"/>
      <c r="E31" s="42"/>
      <c r="F31" s="42"/>
      <c r="G31" s="42"/>
      <c r="H31" s="33"/>
      <c r="I31" s="33"/>
      <c r="J31" s="34"/>
      <c r="K31" s="34"/>
      <c r="L31" s="34"/>
      <c r="M31" s="34"/>
      <c r="N31" s="34"/>
      <c r="O31" s="34"/>
      <c r="P31" s="34"/>
      <c r="Q31" s="34"/>
      <c r="R31" s="34"/>
    </row>
    <row r="32" spans="1:18" x14ac:dyDescent="0.25">
      <c r="A32" s="270" t="s">
        <v>76</v>
      </c>
      <c r="B32" s="270"/>
      <c r="C32" s="32" t="s">
        <v>87</v>
      </c>
      <c r="D32" s="32">
        <v>129944</v>
      </c>
      <c r="E32" s="32">
        <v>195</v>
      </c>
      <c r="F32" s="32">
        <f t="shared" ref="F32:F39" si="31">D32*E32</f>
        <v>25339080</v>
      </c>
      <c r="G32" s="32">
        <v>143053</v>
      </c>
      <c r="H32" s="32">
        <f t="shared" ref="H32:H39" si="32">ROUND((E32*(1+$H$4)),0)</f>
        <v>219</v>
      </c>
      <c r="I32" s="32">
        <f t="shared" ref="I32:I39" si="33">G32*H32</f>
        <v>31328607</v>
      </c>
      <c r="J32" s="32">
        <v>156553</v>
      </c>
      <c r="K32" s="32">
        <f t="shared" ref="K32:K39" si="34">ROUND((H32*(1+$K$4)),0)</f>
        <v>243</v>
      </c>
      <c r="L32" s="32">
        <f t="shared" ref="L32:L39" si="35">J32*K32</f>
        <v>38042379</v>
      </c>
      <c r="M32" s="32">
        <v>170453</v>
      </c>
      <c r="N32" s="32">
        <f t="shared" ref="N32:N39" si="36">ROUND((K32*(1+$N$4)),0)</f>
        <v>261</v>
      </c>
      <c r="O32" s="32">
        <f t="shared" ref="O32:O39" si="37">M32*N32</f>
        <v>44488233</v>
      </c>
      <c r="P32" s="32">
        <v>184762</v>
      </c>
      <c r="Q32" s="32">
        <f t="shared" ref="Q32:Q39" si="38">ROUND((N32*(1+$Q$4)),0)</f>
        <v>277</v>
      </c>
      <c r="R32" s="32">
        <f t="shared" ref="R32:R39" si="39">P32*Q32</f>
        <v>51179074</v>
      </c>
    </row>
    <row r="33" spans="1:18" x14ac:dyDescent="0.25">
      <c r="A33" s="270" t="s">
        <v>77</v>
      </c>
      <c r="B33" s="270"/>
      <c r="C33" s="32" t="s">
        <v>87</v>
      </c>
      <c r="D33" s="32">
        <v>92195</v>
      </c>
      <c r="E33" s="32">
        <v>11.25</v>
      </c>
      <c r="F33" s="32">
        <f t="shared" si="31"/>
        <v>1037193.75</v>
      </c>
      <c r="G33" s="32">
        <v>101496</v>
      </c>
      <c r="H33" s="32">
        <f t="shared" si="32"/>
        <v>13</v>
      </c>
      <c r="I33" s="32">
        <f t="shared" si="33"/>
        <v>1319448</v>
      </c>
      <c r="J33" s="32">
        <v>111074</v>
      </c>
      <c r="K33" s="32">
        <f t="shared" si="34"/>
        <v>14</v>
      </c>
      <c r="L33" s="32">
        <f t="shared" si="35"/>
        <v>1555036</v>
      </c>
      <c r="M33" s="32">
        <v>120936</v>
      </c>
      <c r="N33" s="32">
        <f t="shared" si="36"/>
        <v>15</v>
      </c>
      <c r="O33" s="32">
        <f t="shared" si="37"/>
        <v>1814040</v>
      </c>
      <c r="P33" s="32">
        <v>131088</v>
      </c>
      <c r="Q33" s="32">
        <f t="shared" si="38"/>
        <v>16</v>
      </c>
      <c r="R33" s="32">
        <f t="shared" si="39"/>
        <v>2097408</v>
      </c>
    </row>
    <row r="34" spans="1:18" x14ac:dyDescent="0.25">
      <c r="A34" s="270" t="s">
        <v>78</v>
      </c>
      <c r="B34" s="270"/>
      <c r="C34" s="32" t="s">
        <v>87</v>
      </c>
      <c r="D34" s="32">
        <v>153659</v>
      </c>
      <c r="E34" s="32">
        <v>7</v>
      </c>
      <c r="F34" s="32">
        <f t="shared" si="31"/>
        <v>1075613</v>
      </c>
      <c r="G34" s="32">
        <v>169161</v>
      </c>
      <c r="H34" s="32">
        <f t="shared" si="32"/>
        <v>8</v>
      </c>
      <c r="I34" s="32">
        <f t="shared" si="33"/>
        <v>1353288</v>
      </c>
      <c r="J34" s="32">
        <v>185124</v>
      </c>
      <c r="K34" s="32">
        <f t="shared" si="34"/>
        <v>9</v>
      </c>
      <c r="L34" s="32">
        <f t="shared" si="35"/>
        <v>1666116</v>
      </c>
      <c r="M34" s="32">
        <v>201561</v>
      </c>
      <c r="N34" s="32">
        <f t="shared" si="36"/>
        <v>10</v>
      </c>
      <c r="O34" s="32">
        <f t="shared" si="37"/>
        <v>2015610</v>
      </c>
      <c r="P34" s="32">
        <v>218481</v>
      </c>
      <c r="Q34" s="32">
        <f t="shared" si="38"/>
        <v>11</v>
      </c>
      <c r="R34" s="32">
        <f t="shared" si="39"/>
        <v>2403291</v>
      </c>
    </row>
    <row r="35" spans="1:18" x14ac:dyDescent="0.25">
      <c r="A35" s="270" t="s">
        <v>79</v>
      </c>
      <c r="B35" s="270"/>
      <c r="C35" s="32" t="s">
        <v>87</v>
      </c>
      <c r="D35" s="32">
        <v>129944</v>
      </c>
      <c r="E35" s="32">
        <v>35</v>
      </c>
      <c r="F35" s="32">
        <f t="shared" si="31"/>
        <v>4548040</v>
      </c>
      <c r="G35" s="32">
        <v>143053</v>
      </c>
      <c r="H35" s="32">
        <f t="shared" si="32"/>
        <v>39</v>
      </c>
      <c r="I35" s="32">
        <f t="shared" si="33"/>
        <v>5579067</v>
      </c>
      <c r="J35" s="32">
        <v>156553</v>
      </c>
      <c r="K35" s="32">
        <f t="shared" si="34"/>
        <v>43</v>
      </c>
      <c r="L35" s="32">
        <f t="shared" si="35"/>
        <v>6731779</v>
      </c>
      <c r="M35" s="32">
        <v>170453</v>
      </c>
      <c r="N35" s="32">
        <f t="shared" si="36"/>
        <v>46</v>
      </c>
      <c r="O35" s="32">
        <f t="shared" si="37"/>
        <v>7840838</v>
      </c>
      <c r="P35" s="32">
        <v>184762</v>
      </c>
      <c r="Q35" s="32">
        <f t="shared" si="38"/>
        <v>49</v>
      </c>
      <c r="R35" s="32">
        <f t="shared" si="39"/>
        <v>9053338</v>
      </c>
    </row>
    <row r="36" spans="1:18" x14ac:dyDescent="0.25">
      <c r="A36" s="270" t="s">
        <v>80</v>
      </c>
      <c r="B36" s="270"/>
      <c r="C36" s="32" t="s">
        <v>87</v>
      </c>
      <c r="D36" s="32">
        <v>3842</v>
      </c>
      <c r="E36" s="32">
        <v>15</v>
      </c>
      <c r="F36" s="32">
        <f t="shared" si="31"/>
        <v>57630</v>
      </c>
      <c r="G36" s="32">
        <v>4229</v>
      </c>
      <c r="H36" s="32">
        <f t="shared" si="32"/>
        <v>17</v>
      </c>
      <c r="I36" s="32">
        <f t="shared" si="33"/>
        <v>71893</v>
      </c>
      <c r="J36" s="32">
        <v>4629</v>
      </c>
      <c r="K36" s="32">
        <f t="shared" si="34"/>
        <v>19</v>
      </c>
      <c r="L36" s="32">
        <f t="shared" si="35"/>
        <v>87951</v>
      </c>
      <c r="M36" s="32">
        <v>5039</v>
      </c>
      <c r="N36" s="32">
        <f t="shared" si="36"/>
        <v>20</v>
      </c>
      <c r="O36" s="32">
        <f t="shared" si="37"/>
        <v>100780</v>
      </c>
      <c r="P36" s="32">
        <v>4562</v>
      </c>
      <c r="Q36" s="32">
        <f t="shared" si="38"/>
        <v>21</v>
      </c>
      <c r="R36" s="32">
        <f t="shared" si="39"/>
        <v>95802</v>
      </c>
    </row>
    <row r="37" spans="1:18" x14ac:dyDescent="0.25">
      <c r="A37" s="270" t="s">
        <v>81</v>
      </c>
      <c r="B37" s="270"/>
      <c r="C37" s="32" t="s">
        <v>87</v>
      </c>
      <c r="D37" s="32">
        <v>6403</v>
      </c>
      <c r="E37" s="32">
        <v>17</v>
      </c>
      <c r="F37" s="32">
        <f t="shared" si="31"/>
        <v>108851</v>
      </c>
      <c r="G37" s="32">
        <v>7049</v>
      </c>
      <c r="H37" s="32">
        <f t="shared" si="32"/>
        <v>19</v>
      </c>
      <c r="I37" s="32">
        <f t="shared" si="33"/>
        <v>133931</v>
      </c>
      <c r="J37" s="32">
        <v>7713</v>
      </c>
      <c r="K37" s="32">
        <f t="shared" si="34"/>
        <v>21</v>
      </c>
      <c r="L37" s="32">
        <f t="shared" si="35"/>
        <v>161973</v>
      </c>
      <c r="M37" s="32">
        <v>8399</v>
      </c>
      <c r="N37" s="32">
        <f t="shared" si="36"/>
        <v>23</v>
      </c>
      <c r="O37" s="32">
        <f t="shared" si="37"/>
        <v>193177</v>
      </c>
      <c r="P37" s="32">
        <v>9104</v>
      </c>
      <c r="Q37" s="32">
        <f t="shared" si="38"/>
        <v>24</v>
      </c>
      <c r="R37" s="32">
        <f t="shared" si="39"/>
        <v>218496</v>
      </c>
    </row>
    <row r="38" spans="1:18" x14ac:dyDescent="0.25">
      <c r="A38" s="270" t="s">
        <v>82</v>
      </c>
      <c r="B38" s="270"/>
      <c r="C38" s="32" t="s">
        <v>87</v>
      </c>
      <c r="D38" s="32">
        <v>5415</v>
      </c>
      <c r="E38" s="32">
        <v>40</v>
      </c>
      <c r="F38" s="32">
        <f t="shared" si="31"/>
        <v>216600</v>
      </c>
      <c r="G38" s="32">
        <v>5961</v>
      </c>
      <c r="H38" s="32">
        <f t="shared" si="32"/>
        <v>45</v>
      </c>
      <c r="I38" s="32">
        <f t="shared" si="33"/>
        <v>268245</v>
      </c>
      <c r="J38" s="32">
        <v>6524</v>
      </c>
      <c r="K38" s="32">
        <f t="shared" si="34"/>
        <v>50</v>
      </c>
      <c r="L38" s="32">
        <f t="shared" si="35"/>
        <v>326200</v>
      </c>
      <c r="M38" s="32">
        <v>7103</v>
      </c>
      <c r="N38" s="32">
        <f t="shared" si="36"/>
        <v>54</v>
      </c>
      <c r="O38" s="32">
        <f t="shared" si="37"/>
        <v>383562</v>
      </c>
      <c r="P38" s="32">
        <v>7699</v>
      </c>
      <c r="Q38" s="32">
        <f t="shared" si="38"/>
        <v>57</v>
      </c>
      <c r="R38" s="32">
        <f t="shared" si="39"/>
        <v>438843</v>
      </c>
    </row>
    <row r="39" spans="1:18" ht="15.75" thickBot="1" x14ac:dyDescent="0.3">
      <c r="A39" s="273" t="s">
        <v>83</v>
      </c>
      <c r="B39" s="273"/>
      <c r="C39" s="32" t="s">
        <v>87</v>
      </c>
      <c r="D39" s="32">
        <v>5415</v>
      </c>
      <c r="E39" s="32">
        <v>20</v>
      </c>
      <c r="F39" s="32">
        <f t="shared" si="31"/>
        <v>108300</v>
      </c>
      <c r="G39" s="32">
        <v>5961</v>
      </c>
      <c r="H39" s="32">
        <f t="shared" si="32"/>
        <v>22</v>
      </c>
      <c r="I39" s="32">
        <f t="shared" si="33"/>
        <v>131142</v>
      </c>
      <c r="J39" s="32">
        <v>6524</v>
      </c>
      <c r="K39" s="32">
        <f t="shared" si="34"/>
        <v>24</v>
      </c>
      <c r="L39" s="32">
        <f t="shared" si="35"/>
        <v>156576</v>
      </c>
      <c r="M39" s="32">
        <v>7103</v>
      </c>
      <c r="N39" s="32">
        <f t="shared" si="36"/>
        <v>26</v>
      </c>
      <c r="O39" s="32">
        <f t="shared" si="37"/>
        <v>184678</v>
      </c>
      <c r="P39" s="32">
        <v>7699</v>
      </c>
      <c r="Q39" s="32">
        <f t="shared" si="38"/>
        <v>28</v>
      </c>
      <c r="R39" s="32">
        <f t="shared" si="39"/>
        <v>215572</v>
      </c>
    </row>
    <row r="40" spans="1:18" ht="15.75" thickBot="1" x14ac:dyDescent="0.3">
      <c r="A40" s="271" t="s">
        <v>84</v>
      </c>
      <c r="B40" s="272"/>
      <c r="C40" s="35"/>
      <c r="D40" s="35"/>
      <c r="E40" s="35"/>
      <c r="F40" s="38">
        <f>SUM(F32:F39)</f>
        <v>32491307.75</v>
      </c>
      <c r="G40" s="38"/>
      <c r="H40" s="38"/>
      <c r="I40" s="38">
        <f t="shared" ref="I40:R40" si="40">SUM(I32:I39)</f>
        <v>40185621</v>
      </c>
      <c r="J40" s="38"/>
      <c r="K40" s="38"/>
      <c r="L40" s="38">
        <f t="shared" si="40"/>
        <v>48728010</v>
      </c>
      <c r="M40" s="38"/>
      <c r="N40" s="38"/>
      <c r="O40" s="38">
        <f t="shared" si="40"/>
        <v>57020918</v>
      </c>
      <c r="P40" s="38"/>
      <c r="Q40" s="38"/>
      <c r="R40" s="37">
        <f t="shared" si="40"/>
        <v>65701824</v>
      </c>
    </row>
    <row r="41" spans="1:18" s="4" customFormat="1" ht="15.75" thickBot="1" x14ac:dyDescent="0.3">
      <c r="A41" s="271" t="s">
        <v>85</v>
      </c>
      <c r="B41" s="272"/>
      <c r="C41" s="35"/>
      <c r="D41" s="35"/>
      <c r="E41" s="35"/>
      <c r="F41" s="38">
        <f>+F13+F21+F29+F40</f>
        <v>69799593.035999998</v>
      </c>
      <c r="G41" s="38"/>
      <c r="H41" s="38"/>
      <c r="I41" s="38">
        <f t="shared" ref="I41:R41" si="41">+I13+I21+I29+I40</f>
        <v>86373494.458000004</v>
      </c>
      <c r="J41" s="38"/>
      <c r="K41" s="38"/>
      <c r="L41" s="38">
        <f t="shared" si="41"/>
        <v>104769911.89322001</v>
      </c>
      <c r="M41" s="38"/>
      <c r="N41" s="38"/>
      <c r="O41" s="38">
        <f t="shared" si="41"/>
        <v>122669246.04499999</v>
      </c>
      <c r="P41" s="38"/>
      <c r="Q41" s="38"/>
      <c r="R41" s="37">
        <f t="shared" si="41"/>
        <v>141134574.52400002</v>
      </c>
    </row>
    <row r="44" spans="1:18" ht="15.75" x14ac:dyDescent="0.25">
      <c r="A44" s="281" t="s">
        <v>233</v>
      </c>
      <c r="B44" s="281" t="s">
        <v>234</v>
      </c>
      <c r="C44" s="281"/>
      <c r="D44" s="281"/>
      <c r="E44" s="281"/>
      <c r="F44" s="281"/>
      <c r="G44" s="2"/>
      <c r="H44" s="2"/>
      <c r="I44" s="2"/>
      <c r="J44" s="2"/>
      <c r="K44" s="2"/>
      <c r="L44" s="2"/>
      <c r="M44" s="2"/>
    </row>
    <row r="45" spans="1:18" ht="16.5" thickBot="1" x14ac:dyDescent="0.3">
      <c r="A45" s="282"/>
      <c r="B45" s="277" t="s">
        <v>235</v>
      </c>
      <c r="C45" s="278"/>
      <c r="D45" s="279"/>
      <c r="E45" s="277" t="s">
        <v>236</v>
      </c>
      <c r="F45" s="278"/>
      <c r="G45" s="279"/>
      <c r="H45" s="277" t="s">
        <v>237</v>
      </c>
      <c r="I45" s="278"/>
      <c r="J45" s="279"/>
      <c r="K45" s="277" t="s">
        <v>238</v>
      </c>
      <c r="L45" s="278"/>
      <c r="M45" s="279"/>
      <c r="N45" s="280" t="s">
        <v>239</v>
      </c>
      <c r="O45" s="265"/>
      <c r="P45" s="265"/>
    </row>
    <row r="46" spans="1:18" ht="15.75" x14ac:dyDescent="0.25">
      <c r="A46" s="114" t="s">
        <v>240</v>
      </c>
      <c r="B46" s="119" t="s">
        <v>234</v>
      </c>
      <c r="C46" s="119" t="s">
        <v>255</v>
      </c>
      <c r="D46" s="119" t="s">
        <v>256</v>
      </c>
      <c r="E46" s="119" t="s">
        <v>257</v>
      </c>
      <c r="F46" s="119" t="s">
        <v>255</v>
      </c>
      <c r="G46" s="119" t="s">
        <v>256</v>
      </c>
      <c r="H46" s="119" t="s">
        <v>257</v>
      </c>
      <c r="I46" s="119" t="s">
        <v>255</v>
      </c>
      <c r="J46" s="119" t="s">
        <v>256</v>
      </c>
      <c r="K46" s="119" t="s">
        <v>257</v>
      </c>
      <c r="L46" s="119" t="s">
        <v>255</v>
      </c>
      <c r="M46" s="119" t="s">
        <v>256</v>
      </c>
      <c r="N46" s="119" t="s">
        <v>257</v>
      </c>
      <c r="O46" s="119" t="s">
        <v>255</v>
      </c>
      <c r="P46" s="120" t="s">
        <v>256</v>
      </c>
    </row>
    <row r="47" spans="1:18" ht="15.75" x14ac:dyDescent="0.25">
      <c r="A47" s="121" t="s">
        <v>7</v>
      </c>
      <c r="B47" s="122"/>
      <c r="C47" s="122"/>
      <c r="D47" s="122"/>
      <c r="E47" s="122"/>
      <c r="F47" s="124">
        <f>+'BASES DE CALCULO'!C5</f>
        <v>0.1245</v>
      </c>
      <c r="G47" s="122"/>
      <c r="H47" s="122"/>
      <c r="I47" s="124">
        <f>+'BASES DE CALCULO'!D5</f>
        <v>0.1084</v>
      </c>
      <c r="J47" s="122"/>
      <c r="K47" s="122"/>
      <c r="L47" s="124">
        <f>+'BASES DE CALCULO'!E5</f>
        <v>7.6100000000000001E-2</v>
      </c>
      <c r="M47" s="122"/>
      <c r="N47" s="77"/>
      <c r="O47" s="125">
        <f>+'BASES DE CALCULO'!F5</f>
        <v>0.06</v>
      </c>
      <c r="P47" s="123"/>
    </row>
    <row r="48" spans="1:18" ht="15.75" x14ac:dyDescent="0.25">
      <c r="A48" s="115" t="s">
        <v>241</v>
      </c>
      <c r="B48" s="79">
        <v>100</v>
      </c>
      <c r="C48" s="128">
        <v>12000</v>
      </c>
      <c r="D48" s="128">
        <f>+B48*C48</f>
        <v>1200000</v>
      </c>
      <c r="E48" s="79">
        <v>100</v>
      </c>
      <c r="F48" s="128">
        <f>+C48*(1+$F$47)</f>
        <v>13494</v>
      </c>
      <c r="G48" s="128">
        <f>+E48*F48</f>
        <v>1349400</v>
      </c>
      <c r="H48" s="129">
        <v>0</v>
      </c>
      <c r="I48" s="130">
        <f>+F48*(1+$I$47)</f>
        <v>14956.749600000001</v>
      </c>
      <c r="J48" s="130">
        <f>+H48*I48</f>
        <v>0</v>
      </c>
      <c r="K48" s="129">
        <v>0</v>
      </c>
      <c r="L48" s="128">
        <f>+I48*(1+$L$47)</f>
        <v>16094.958244560003</v>
      </c>
      <c r="M48" s="130">
        <f>+K48*L48</f>
        <v>0</v>
      </c>
      <c r="N48" s="129">
        <v>0</v>
      </c>
      <c r="O48" s="131">
        <f>+L48*(1+$O$47)</f>
        <v>17060.655739233604</v>
      </c>
      <c r="P48" s="132">
        <f>+N48*O48</f>
        <v>0</v>
      </c>
    </row>
    <row r="49" spans="1:16" ht="15.75" x14ac:dyDescent="0.25">
      <c r="A49" s="115" t="s">
        <v>242</v>
      </c>
      <c r="B49" s="79">
        <v>200</v>
      </c>
      <c r="C49" s="128">
        <v>5000</v>
      </c>
      <c r="D49" s="128">
        <f t="shared" ref="D49:D51" si="42">+B49*C49</f>
        <v>1000000</v>
      </c>
      <c r="E49" s="129">
        <v>0</v>
      </c>
      <c r="F49" s="130">
        <f t="shared" ref="F49:F51" si="43">+C49*(1+$F$47)</f>
        <v>5622.5</v>
      </c>
      <c r="G49" s="130">
        <f t="shared" ref="G49:G50" si="44">+E49*F49</f>
        <v>0</v>
      </c>
      <c r="H49" s="129">
        <v>0</v>
      </c>
      <c r="I49" s="130">
        <f t="shared" ref="I49:I51" si="45">+F49*(1+$I$47)</f>
        <v>6231.9790000000003</v>
      </c>
      <c r="J49" s="130">
        <f>+H49*I49</f>
        <v>0</v>
      </c>
      <c r="K49" s="79">
        <v>100</v>
      </c>
      <c r="L49" s="128">
        <f t="shared" ref="L49:L51" si="46">+I49*(1+$L$47)</f>
        <v>6706.2326019000002</v>
      </c>
      <c r="M49" s="128">
        <f t="shared" ref="M49:M51" si="47">+K49*L49</f>
        <v>670623.26019000006</v>
      </c>
      <c r="N49" s="79">
        <v>80</v>
      </c>
      <c r="O49" s="133">
        <f t="shared" ref="O49:O51" si="48">+L49*(1+$O$47)</f>
        <v>7108.6065580140003</v>
      </c>
      <c r="P49" s="134">
        <f t="shared" ref="P49:P51" si="49">+N49*O49</f>
        <v>568688.52464111999</v>
      </c>
    </row>
    <row r="50" spans="1:16" ht="15.75" x14ac:dyDescent="0.25">
      <c r="A50" s="115" t="s">
        <v>243</v>
      </c>
      <c r="B50" s="79">
        <v>150</v>
      </c>
      <c r="C50" s="128">
        <v>8000</v>
      </c>
      <c r="D50" s="128">
        <f t="shared" si="42"/>
        <v>1200000</v>
      </c>
      <c r="E50" s="129">
        <v>0</v>
      </c>
      <c r="F50" s="130">
        <f t="shared" si="43"/>
        <v>8996</v>
      </c>
      <c r="G50" s="130">
        <f t="shared" si="44"/>
        <v>0</v>
      </c>
      <c r="H50" s="79">
        <v>100</v>
      </c>
      <c r="I50" s="128">
        <f t="shared" si="45"/>
        <v>9971.1664000000001</v>
      </c>
      <c r="J50" s="128">
        <f>+H50*I50</f>
        <v>997116.64</v>
      </c>
      <c r="K50" s="79">
        <v>40</v>
      </c>
      <c r="L50" s="128">
        <f t="shared" si="46"/>
        <v>10729.97216304</v>
      </c>
      <c r="M50" s="128">
        <f t="shared" si="47"/>
        <v>429198.88652160001</v>
      </c>
      <c r="N50" s="79">
        <v>50</v>
      </c>
      <c r="O50" s="133">
        <f t="shared" si="48"/>
        <v>11373.770492822401</v>
      </c>
      <c r="P50" s="134">
        <f t="shared" si="49"/>
        <v>568688.52464112011</v>
      </c>
    </row>
    <row r="51" spans="1:16" ht="16.5" thickBot="1" x14ac:dyDescent="0.3">
      <c r="A51" s="116" t="s">
        <v>244</v>
      </c>
      <c r="B51" s="135">
        <v>0</v>
      </c>
      <c r="C51" s="136">
        <v>800</v>
      </c>
      <c r="D51" s="130">
        <f t="shared" si="42"/>
        <v>0</v>
      </c>
      <c r="E51" s="137">
        <v>100</v>
      </c>
      <c r="F51" s="128">
        <f t="shared" si="43"/>
        <v>899.6</v>
      </c>
      <c r="G51" s="128">
        <f t="shared" ref="G51" si="50">+E51*F51</f>
        <v>89960</v>
      </c>
      <c r="H51" s="137">
        <v>150</v>
      </c>
      <c r="I51" s="128">
        <f t="shared" si="45"/>
        <v>997.11664000000007</v>
      </c>
      <c r="J51" s="128">
        <f>+H51*I51</f>
        <v>149567.49600000001</v>
      </c>
      <c r="K51" s="137">
        <v>200</v>
      </c>
      <c r="L51" s="128">
        <f t="shared" si="46"/>
        <v>1072.9972163040002</v>
      </c>
      <c r="M51" s="128">
        <f t="shared" si="47"/>
        <v>214599.44326080004</v>
      </c>
      <c r="N51" s="137">
        <v>200</v>
      </c>
      <c r="O51" s="133">
        <f t="shared" si="48"/>
        <v>1137.3770492822403</v>
      </c>
      <c r="P51" s="134">
        <f t="shared" si="49"/>
        <v>227475.40985644804</v>
      </c>
    </row>
    <row r="52" spans="1:16" ht="15.75" x14ac:dyDescent="0.25">
      <c r="A52" s="114" t="s">
        <v>245</v>
      </c>
      <c r="B52" s="138"/>
      <c r="C52" s="139"/>
      <c r="D52" s="139"/>
      <c r="E52" s="138"/>
      <c r="F52" s="139"/>
      <c r="G52" s="139"/>
      <c r="H52" s="138"/>
      <c r="I52" s="139"/>
      <c r="J52" s="139"/>
      <c r="K52" s="138"/>
      <c r="L52" s="139"/>
      <c r="M52" s="139"/>
      <c r="N52" s="140"/>
      <c r="O52" s="139"/>
      <c r="P52" s="141"/>
    </row>
    <row r="53" spans="1:16" ht="15.75" x14ac:dyDescent="0.25">
      <c r="A53" s="115" t="s">
        <v>246</v>
      </c>
      <c r="B53" s="79">
        <v>300</v>
      </c>
      <c r="C53" s="128">
        <v>615</v>
      </c>
      <c r="D53" s="128">
        <f>+B53*C53</f>
        <v>184500</v>
      </c>
      <c r="E53" s="79">
        <v>300</v>
      </c>
      <c r="F53" s="128">
        <f>+C53*(1+$F$47)</f>
        <v>691.5675</v>
      </c>
      <c r="G53" s="128">
        <f>+E53*F53</f>
        <v>207470.25</v>
      </c>
      <c r="H53" s="79">
        <v>350</v>
      </c>
      <c r="I53" s="128">
        <f>+F53*(1+$I$47)</f>
        <v>766.53341699999999</v>
      </c>
      <c r="J53" s="128">
        <f>+H53*I53</f>
        <v>268286.69595000002</v>
      </c>
      <c r="K53" s="79">
        <v>350</v>
      </c>
      <c r="L53" s="128">
        <f>+I53*(1+$L$47)</f>
        <v>824.8666100337</v>
      </c>
      <c r="M53" s="128">
        <f>+K53*L53</f>
        <v>288703.31351179502</v>
      </c>
      <c r="N53" s="79">
        <v>350</v>
      </c>
      <c r="O53" s="128">
        <f>+L53*(1+$O$47)</f>
        <v>874.35860663572203</v>
      </c>
      <c r="P53" s="134">
        <f>+N53*O53</f>
        <v>306025.51232250273</v>
      </c>
    </row>
    <row r="54" spans="1:16" ht="15.75" x14ac:dyDescent="0.25">
      <c r="A54" s="115" t="s">
        <v>247</v>
      </c>
      <c r="B54" s="79">
        <v>400</v>
      </c>
      <c r="C54" s="128">
        <v>440</v>
      </c>
      <c r="D54" s="128">
        <f t="shared" ref="D54:D57" si="51">+B54*C54</f>
        <v>176000</v>
      </c>
      <c r="E54" s="79">
        <v>500</v>
      </c>
      <c r="F54" s="128">
        <f t="shared" ref="F54:F57" si="52">+C54*(1+$F$47)</f>
        <v>494.78000000000003</v>
      </c>
      <c r="G54" s="128">
        <f t="shared" ref="G54:G57" si="53">+E54*F54</f>
        <v>247390.00000000003</v>
      </c>
      <c r="H54" s="79">
        <v>600</v>
      </c>
      <c r="I54" s="128">
        <f t="shared" ref="I54:I57" si="54">+F54*(1+$I$47)</f>
        <v>548.41415200000006</v>
      </c>
      <c r="J54" s="128">
        <f t="shared" ref="J54:J57" si="55">+H54*I54</f>
        <v>329048.49120000005</v>
      </c>
      <c r="K54" s="79">
        <v>600</v>
      </c>
      <c r="L54" s="128">
        <f t="shared" ref="L54:L57" si="56">+I54*(1+$L$47)</f>
        <v>590.14846896720007</v>
      </c>
      <c r="M54" s="128">
        <f t="shared" ref="M54:M57" si="57">+K54*L54</f>
        <v>354089.08138032007</v>
      </c>
      <c r="N54" s="79">
        <v>600</v>
      </c>
      <c r="O54" s="128">
        <f t="shared" ref="O54:O57" si="58">+L54*(1+$O$47)</f>
        <v>625.55737710523215</v>
      </c>
      <c r="P54" s="134">
        <f t="shared" ref="P54:P57" si="59">+N54*O54</f>
        <v>375334.42626313929</v>
      </c>
    </row>
    <row r="55" spans="1:16" ht="15.75" x14ac:dyDescent="0.25">
      <c r="A55" s="115" t="s">
        <v>248</v>
      </c>
      <c r="B55" s="79">
        <v>500</v>
      </c>
      <c r="C55" s="128">
        <v>300</v>
      </c>
      <c r="D55" s="128">
        <f t="shared" si="51"/>
        <v>150000</v>
      </c>
      <c r="E55" s="79">
        <v>700</v>
      </c>
      <c r="F55" s="128">
        <f t="shared" si="52"/>
        <v>337.35</v>
      </c>
      <c r="G55" s="128">
        <f t="shared" si="53"/>
        <v>236145.00000000003</v>
      </c>
      <c r="H55" s="79">
        <v>800</v>
      </c>
      <c r="I55" s="128">
        <f t="shared" si="54"/>
        <v>373.91874000000007</v>
      </c>
      <c r="J55" s="128">
        <f t="shared" si="55"/>
        <v>299134.99200000009</v>
      </c>
      <c r="K55" s="79">
        <v>800</v>
      </c>
      <c r="L55" s="128">
        <f t="shared" si="56"/>
        <v>402.37395611400012</v>
      </c>
      <c r="M55" s="128">
        <f t="shared" si="57"/>
        <v>321899.16489120008</v>
      </c>
      <c r="N55" s="79">
        <v>800</v>
      </c>
      <c r="O55" s="128">
        <f t="shared" si="58"/>
        <v>426.51639348084018</v>
      </c>
      <c r="P55" s="134">
        <f t="shared" si="59"/>
        <v>341213.11478467216</v>
      </c>
    </row>
    <row r="56" spans="1:16" ht="15.75" x14ac:dyDescent="0.25">
      <c r="A56" s="115" t="s">
        <v>249</v>
      </c>
      <c r="B56" s="129">
        <v>0</v>
      </c>
      <c r="C56" s="130">
        <v>0</v>
      </c>
      <c r="D56" s="130">
        <v>0</v>
      </c>
      <c r="E56" s="129">
        <v>0</v>
      </c>
      <c r="F56" s="130">
        <f t="shared" si="52"/>
        <v>0</v>
      </c>
      <c r="G56" s="130">
        <f t="shared" si="53"/>
        <v>0</v>
      </c>
      <c r="H56" s="129">
        <v>0</v>
      </c>
      <c r="I56" s="130">
        <f t="shared" si="54"/>
        <v>0</v>
      </c>
      <c r="J56" s="130">
        <f t="shared" si="55"/>
        <v>0</v>
      </c>
      <c r="K56" s="129">
        <v>0</v>
      </c>
      <c r="L56" s="130">
        <f t="shared" si="56"/>
        <v>0</v>
      </c>
      <c r="M56" s="130">
        <f t="shared" si="57"/>
        <v>0</v>
      </c>
      <c r="N56" s="129">
        <v>0</v>
      </c>
      <c r="O56" s="130">
        <f t="shared" si="58"/>
        <v>0</v>
      </c>
      <c r="P56" s="132">
        <f t="shared" si="59"/>
        <v>0</v>
      </c>
    </row>
    <row r="57" spans="1:16" ht="16.5" thickBot="1" x14ac:dyDescent="0.3">
      <c r="A57" s="116" t="s">
        <v>248</v>
      </c>
      <c r="B57" s="137">
        <v>1000</v>
      </c>
      <c r="C57" s="142">
        <v>300</v>
      </c>
      <c r="D57" s="128">
        <f t="shared" si="51"/>
        <v>300000</v>
      </c>
      <c r="E57" s="137">
        <v>0</v>
      </c>
      <c r="F57" s="130">
        <f t="shared" si="52"/>
        <v>337.35</v>
      </c>
      <c r="G57" s="128">
        <f t="shared" si="53"/>
        <v>0</v>
      </c>
      <c r="H57" s="137">
        <v>0</v>
      </c>
      <c r="I57" s="130">
        <f t="shared" si="54"/>
        <v>373.91874000000007</v>
      </c>
      <c r="J57" s="128">
        <f t="shared" si="55"/>
        <v>0</v>
      </c>
      <c r="K57" s="137">
        <v>0</v>
      </c>
      <c r="L57" s="130">
        <f t="shared" si="56"/>
        <v>402.37395611400012</v>
      </c>
      <c r="M57" s="128">
        <f t="shared" si="57"/>
        <v>0</v>
      </c>
      <c r="N57" s="137">
        <v>0</v>
      </c>
      <c r="O57" s="130">
        <f t="shared" si="58"/>
        <v>426.51639348084018</v>
      </c>
      <c r="P57" s="132">
        <f t="shared" si="59"/>
        <v>0</v>
      </c>
    </row>
    <row r="58" spans="1:16" ht="15.75" x14ac:dyDescent="0.25">
      <c r="A58" s="117" t="s">
        <v>250</v>
      </c>
      <c r="B58" s="138"/>
      <c r="C58" s="139"/>
      <c r="D58" s="139"/>
      <c r="E58" s="138"/>
      <c r="F58" s="139"/>
      <c r="G58" s="139"/>
      <c r="H58" s="138"/>
      <c r="I58" s="139"/>
      <c r="J58" s="139"/>
      <c r="K58" s="138"/>
      <c r="L58" s="139"/>
      <c r="M58" s="139"/>
      <c r="N58" s="140"/>
      <c r="O58" s="139"/>
      <c r="P58" s="141"/>
    </row>
    <row r="59" spans="1:16" ht="16.5" thickBot="1" x14ac:dyDescent="0.3">
      <c r="A59" s="118" t="s">
        <v>251</v>
      </c>
      <c r="B59" s="137"/>
      <c r="C59" s="142"/>
      <c r="D59" s="142"/>
      <c r="E59" s="137"/>
      <c r="F59" s="142"/>
      <c r="G59" s="142"/>
      <c r="H59" s="137"/>
      <c r="I59" s="142"/>
      <c r="J59" s="142"/>
      <c r="K59" s="137"/>
      <c r="L59" s="142"/>
      <c r="M59" s="142"/>
      <c r="N59" s="137"/>
      <c r="O59" s="142"/>
      <c r="P59" s="143"/>
    </row>
    <row r="60" spans="1:16" ht="15.75" x14ac:dyDescent="0.25">
      <c r="A60" s="114" t="s">
        <v>252</v>
      </c>
      <c r="B60" s="138"/>
      <c r="C60" s="139"/>
      <c r="D60" s="139"/>
      <c r="E60" s="138"/>
      <c r="F60" s="139"/>
      <c r="G60" s="139"/>
      <c r="H60" s="138"/>
      <c r="I60" s="139"/>
      <c r="J60" s="139"/>
      <c r="K60" s="138"/>
      <c r="L60" s="139"/>
      <c r="M60" s="139"/>
      <c r="N60" s="138"/>
      <c r="O60" s="139"/>
      <c r="P60" s="141"/>
    </row>
    <row r="61" spans="1:16" ht="15.75" x14ac:dyDescent="0.25">
      <c r="A61" s="115" t="s">
        <v>246</v>
      </c>
      <c r="B61" s="79">
        <v>168</v>
      </c>
      <c r="C61" s="128">
        <v>615</v>
      </c>
      <c r="D61" s="128">
        <f>+B61*C61</f>
        <v>103320</v>
      </c>
      <c r="E61" s="79">
        <v>204</v>
      </c>
      <c r="F61" s="128">
        <f>+C61*(1+$F$47)</f>
        <v>691.5675</v>
      </c>
      <c r="G61" s="128">
        <f>+E61*F61</f>
        <v>141079.76999999999</v>
      </c>
      <c r="H61" s="79">
        <v>264</v>
      </c>
      <c r="I61" s="128">
        <f>+F61*(1+$I$47)</f>
        <v>766.53341699999999</v>
      </c>
      <c r="J61" s="128">
        <f>+H61*I61</f>
        <v>202364.82208799999</v>
      </c>
      <c r="K61" s="79">
        <v>312</v>
      </c>
      <c r="L61" s="128">
        <f>+I61*(1+$L$47)</f>
        <v>824.8666100337</v>
      </c>
      <c r="M61" s="128">
        <f>+K61*L61</f>
        <v>257358.3823305144</v>
      </c>
      <c r="N61" s="79">
        <v>372</v>
      </c>
      <c r="O61" s="128">
        <f>+L61*(1+$O$47)</f>
        <v>874.35860663572203</v>
      </c>
      <c r="P61" s="134">
        <f>+N61*O61</f>
        <v>325261.40166848857</v>
      </c>
    </row>
    <row r="62" spans="1:16" ht="15.75" x14ac:dyDescent="0.25">
      <c r="A62" s="115" t="s">
        <v>253</v>
      </c>
      <c r="B62" s="79">
        <v>108</v>
      </c>
      <c r="C62" s="128">
        <v>440</v>
      </c>
      <c r="D62" s="128">
        <f t="shared" ref="D62:D63" si="60">+B62*C62</f>
        <v>47520</v>
      </c>
      <c r="E62" s="79">
        <v>144</v>
      </c>
      <c r="F62" s="128">
        <f t="shared" ref="F62:F63" si="61">+C62*(1+$F$47)</f>
        <v>494.78000000000003</v>
      </c>
      <c r="G62" s="128">
        <f t="shared" ref="G62:G63" si="62">+E62*F62</f>
        <v>71248.320000000007</v>
      </c>
      <c r="H62" s="79">
        <v>180</v>
      </c>
      <c r="I62" s="128">
        <f t="shared" ref="I62:I63" si="63">+F62*(1+$I$47)</f>
        <v>548.41415200000006</v>
      </c>
      <c r="J62" s="128">
        <f t="shared" ref="J62:J63" si="64">+H62*I62</f>
        <v>98714.547360000011</v>
      </c>
      <c r="K62" s="79">
        <v>228</v>
      </c>
      <c r="L62" s="128">
        <f t="shared" ref="L62:L63" si="65">+I62*(1+$L$47)</f>
        <v>590.14846896720007</v>
      </c>
      <c r="M62" s="128">
        <f t="shared" ref="M62:M63" si="66">+K62*L62</f>
        <v>134553.85092452163</v>
      </c>
      <c r="N62" s="79">
        <v>264</v>
      </c>
      <c r="O62" s="128">
        <f t="shared" ref="O62:O63" si="67">+L62*(1+$O$47)</f>
        <v>625.55737710523215</v>
      </c>
      <c r="P62" s="134">
        <f t="shared" ref="P62:P63" si="68">+N62*O62</f>
        <v>165147.1475557813</v>
      </c>
    </row>
    <row r="63" spans="1:16" ht="16.5" thickBot="1" x14ac:dyDescent="0.3">
      <c r="A63" s="126" t="s">
        <v>254</v>
      </c>
      <c r="B63" s="144">
        <v>180</v>
      </c>
      <c r="C63" s="145">
        <v>200</v>
      </c>
      <c r="D63" s="145">
        <f t="shared" si="60"/>
        <v>36000</v>
      </c>
      <c r="E63" s="144">
        <v>240</v>
      </c>
      <c r="F63" s="145">
        <f t="shared" si="61"/>
        <v>224.9</v>
      </c>
      <c r="G63" s="145">
        <f t="shared" si="62"/>
        <v>53976</v>
      </c>
      <c r="H63" s="144">
        <v>300</v>
      </c>
      <c r="I63" s="145">
        <f t="shared" si="63"/>
        <v>249.27916000000002</v>
      </c>
      <c r="J63" s="145">
        <f t="shared" si="64"/>
        <v>74783.748000000007</v>
      </c>
      <c r="K63" s="144">
        <v>372</v>
      </c>
      <c r="L63" s="145">
        <f t="shared" si="65"/>
        <v>268.24930407600004</v>
      </c>
      <c r="M63" s="145">
        <f t="shared" si="66"/>
        <v>99788.741116272024</v>
      </c>
      <c r="N63" s="144">
        <v>432</v>
      </c>
      <c r="O63" s="145">
        <f t="shared" si="67"/>
        <v>284.34426232056006</v>
      </c>
      <c r="P63" s="146">
        <f t="shared" si="68"/>
        <v>122836.72132248194</v>
      </c>
    </row>
    <row r="64" spans="1:16" ht="16.5" thickBot="1" x14ac:dyDescent="0.3">
      <c r="A64" s="127" t="s">
        <v>258</v>
      </c>
      <c r="B64" s="147"/>
      <c r="C64" s="147"/>
      <c r="D64" s="148">
        <f>SUM(D48:D63)</f>
        <v>4397340</v>
      </c>
      <c r="E64" s="149"/>
      <c r="F64" s="149"/>
      <c r="G64" s="148">
        <f t="shared" ref="G64:P64" si="69">SUM(G48:G63)</f>
        <v>2396669.34</v>
      </c>
      <c r="H64" s="149"/>
      <c r="I64" s="149"/>
      <c r="J64" s="148">
        <f t="shared" si="69"/>
        <v>2419017.4325980004</v>
      </c>
      <c r="K64" s="149"/>
      <c r="L64" s="149"/>
      <c r="M64" s="148">
        <f t="shared" si="69"/>
        <v>2770814.1241270229</v>
      </c>
      <c r="N64" s="149"/>
      <c r="O64" s="149"/>
      <c r="P64" s="150">
        <f t="shared" si="69"/>
        <v>3000670.7830557539</v>
      </c>
    </row>
    <row r="66" spans="1:12" ht="15.75" thickBot="1" x14ac:dyDescent="0.3"/>
    <row r="67" spans="1:12" ht="16.5" thickBot="1" x14ac:dyDescent="0.3">
      <c r="A67" s="262" t="s">
        <v>259</v>
      </c>
      <c r="B67" s="264" t="s">
        <v>260</v>
      </c>
      <c r="C67" s="266" t="s">
        <v>261</v>
      </c>
      <c r="D67" s="266"/>
      <c r="E67" s="266"/>
      <c r="F67" s="266"/>
      <c r="G67" s="266"/>
      <c r="H67" s="155"/>
      <c r="I67" s="155"/>
      <c r="J67" s="155"/>
      <c r="K67" s="155"/>
      <c r="L67" s="156"/>
    </row>
    <row r="68" spans="1:12" ht="16.5" thickBot="1" x14ac:dyDescent="0.3">
      <c r="A68" s="263"/>
      <c r="B68" s="265"/>
      <c r="C68" s="157" t="s">
        <v>235</v>
      </c>
      <c r="D68" s="158" t="s">
        <v>265</v>
      </c>
      <c r="E68" s="158" t="s">
        <v>236</v>
      </c>
      <c r="F68" s="158" t="s">
        <v>265</v>
      </c>
      <c r="G68" s="158" t="s">
        <v>237</v>
      </c>
      <c r="H68" s="158" t="s">
        <v>265</v>
      </c>
      <c r="I68" s="158" t="s">
        <v>238</v>
      </c>
      <c r="J68" s="158" t="s">
        <v>265</v>
      </c>
      <c r="K68" s="158" t="s">
        <v>239</v>
      </c>
      <c r="L68" s="159" t="s">
        <v>265</v>
      </c>
    </row>
    <row r="69" spans="1:12" ht="16.5" thickBot="1" x14ac:dyDescent="0.3">
      <c r="A69" s="119" t="s">
        <v>262</v>
      </c>
      <c r="B69" s="161">
        <v>170000</v>
      </c>
      <c r="C69" s="161">
        <v>5</v>
      </c>
      <c r="D69" s="161">
        <f>+B69*C69</f>
        <v>850000</v>
      </c>
      <c r="E69" s="161">
        <v>5</v>
      </c>
      <c r="F69" s="161">
        <f>+E69*B69</f>
        <v>850000</v>
      </c>
      <c r="G69" s="161">
        <v>6</v>
      </c>
      <c r="H69" s="161">
        <f>+G69*B69</f>
        <v>1020000</v>
      </c>
      <c r="I69" s="161">
        <v>7</v>
      </c>
      <c r="J69" s="161">
        <f>+I69*B69</f>
        <v>1190000</v>
      </c>
      <c r="K69" s="161">
        <v>8</v>
      </c>
      <c r="L69" s="162">
        <f>+K69*B69</f>
        <v>1360000</v>
      </c>
    </row>
    <row r="70" spans="1:12" ht="16.5" thickBot="1" x14ac:dyDescent="0.3">
      <c r="A70" s="115" t="s">
        <v>263</v>
      </c>
      <c r="B70" s="163">
        <v>350000</v>
      </c>
      <c r="C70" s="163">
        <v>3</v>
      </c>
      <c r="D70" s="163">
        <f t="shared" ref="D70:D71" si="70">+B70*C70</f>
        <v>1050000</v>
      </c>
      <c r="E70" s="163">
        <v>2</v>
      </c>
      <c r="F70" s="161">
        <f>+E70*B70</f>
        <v>700000</v>
      </c>
      <c r="G70" s="163">
        <v>1</v>
      </c>
      <c r="H70" s="163">
        <f>+G70*B70</f>
        <v>350000</v>
      </c>
      <c r="I70" s="163"/>
      <c r="J70" s="163">
        <v>0</v>
      </c>
      <c r="K70" s="163"/>
      <c r="L70" s="164">
        <f t="shared" ref="L70" si="71">+K70*$B$69</f>
        <v>0</v>
      </c>
    </row>
    <row r="71" spans="1:12" ht="16.5" thickBot="1" x14ac:dyDescent="0.3">
      <c r="A71" s="126" t="s">
        <v>264</v>
      </c>
      <c r="B71" s="165">
        <v>350000</v>
      </c>
      <c r="C71" s="165">
        <v>3</v>
      </c>
      <c r="D71" s="165">
        <f t="shared" si="70"/>
        <v>1050000</v>
      </c>
      <c r="E71" s="165">
        <v>3</v>
      </c>
      <c r="F71" s="161">
        <f>+E71*B71</f>
        <v>1050000</v>
      </c>
      <c r="G71" s="165">
        <v>4</v>
      </c>
      <c r="H71" s="165">
        <f>+G71*B71</f>
        <v>1400000</v>
      </c>
      <c r="I71" s="165">
        <v>4</v>
      </c>
      <c r="J71" s="165">
        <f>+I71*B71</f>
        <v>1400000</v>
      </c>
      <c r="K71" s="165">
        <v>5</v>
      </c>
      <c r="L71" s="166">
        <f>+K71*B71</f>
        <v>1750000</v>
      </c>
    </row>
    <row r="72" spans="1:12" ht="16.5" thickBot="1" x14ac:dyDescent="0.3">
      <c r="A72" s="160" t="s">
        <v>109</v>
      </c>
      <c r="B72" s="167"/>
      <c r="C72" s="167"/>
      <c r="D72" s="38">
        <f t="shared" ref="D72:L72" si="72">SUM(D69:D71)</f>
        <v>2950000</v>
      </c>
      <c r="E72" s="167"/>
      <c r="F72" s="38">
        <f t="shared" si="72"/>
        <v>2600000</v>
      </c>
      <c r="G72" s="167"/>
      <c r="H72" s="38">
        <f t="shared" si="72"/>
        <v>2770000</v>
      </c>
      <c r="I72" s="167"/>
      <c r="J72" s="38">
        <f t="shared" si="72"/>
        <v>2590000</v>
      </c>
      <c r="K72" s="167"/>
      <c r="L72" s="37">
        <f t="shared" si="72"/>
        <v>3110000</v>
      </c>
    </row>
  </sheetData>
  <mergeCells count="55">
    <mergeCell ref="K45:M45"/>
    <mergeCell ref="N45:P45"/>
    <mergeCell ref="A44:A45"/>
    <mergeCell ref="B44:F44"/>
    <mergeCell ref="B45:D45"/>
    <mergeCell ref="E45:G45"/>
    <mergeCell ref="H45:J45"/>
    <mergeCell ref="A37:B37"/>
    <mergeCell ref="A38:B38"/>
    <mergeCell ref="A39:B39"/>
    <mergeCell ref="A40:B40"/>
    <mergeCell ref="A41:B41"/>
    <mergeCell ref="A36:B36"/>
    <mergeCell ref="A25:B25"/>
    <mergeCell ref="A26:B26"/>
    <mergeCell ref="A27:B27"/>
    <mergeCell ref="A28:B28"/>
    <mergeCell ref="A29:B29"/>
    <mergeCell ref="A30:B30"/>
    <mergeCell ref="A31:B31"/>
    <mergeCell ref="A32:B32"/>
    <mergeCell ref="A33:B33"/>
    <mergeCell ref="A34:B34"/>
    <mergeCell ref="A35:B35"/>
    <mergeCell ref="A24:B24"/>
    <mergeCell ref="A14:B14"/>
    <mergeCell ref="A15:B15"/>
    <mergeCell ref="A16:B16"/>
    <mergeCell ref="A17:B17"/>
    <mergeCell ref="A19:B19"/>
    <mergeCell ref="A20:B20"/>
    <mergeCell ref="A21:B21"/>
    <mergeCell ref="A22:B22"/>
    <mergeCell ref="A23:B23"/>
    <mergeCell ref="A8:B8"/>
    <mergeCell ref="A9:B9"/>
    <mergeCell ref="A10:B10"/>
    <mergeCell ref="A11:B11"/>
    <mergeCell ref="A12:B12"/>
    <mergeCell ref="A67:A68"/>
    <mergeCell ref="B67:B68"/>
    <mergeCell ref="C67:G67"/>
    <mergeCell ref="P2:R2"/>
    <mergeCell ref="A7:B7"/>
    <mergeCell ref="D2:F2"/>
    <mergeCell ref="G2:I2"/>
    <mergeCell ref="J2:L2"/>
    <mergeCell ref="M2:O2"/>
    <mergeCell ref="A2:B3"/>
    <mergeCell ref="C2:C3"/>
    <mergeCell ref="A4:B4"/>
    <mergeCell ref="A5:B5"/>
    <mergeCell ref="A6:B6"/>
    <mergeCell ref="A13:B13"/>
    <mergeCell ref="A18:B18"/>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0"/>
  <sheetViews>
    <sheetView zoomScale="80" zoomScaleNormal="80" workbookViewId="0">
      <selection activeCell="A37" sqref="A37"/>
    </sheetView>
  </sheetViews>
  <sheetFormatPr baseColWidth="10" defaultRowHeight="15" x14ac:dyDescent="0.25"/>
  <cols>
    <col min="1" max="1" width="29.5703125" bestFit="1" customWidth="1"/>
    <col min="2" max="2" width="37.85546875" bestFit="1" customWidth="1"/>
    <col min="3" max="3" width="31.28515625" bestFit="1" customWidth="1"/>
    <col min="4" max="4" width="24.5703125" bestFit="1" customWidth="1"/>
    <col min="5" max="5" width="17.7109375" bestFit="1" customWidth="1"/>
    <col min="6" max="6" width="27.140625" bestFit="1" customWidth="1"/>
    <col min="7" max="7" width="19.5703125" bestFit="1" customWidth="1"/>
    <col min="8" max="8" width="12.7109375" bestFit="1" customWidth="1"/>
    <col min="9" max="9" width="22.7109375" bestFit="1" customWidth="1"/>
    <col min="10" max="10" width="9.7109375" bestFit="1" customWidth="1"/>
    <col min="11" max="11" width="11.7109375" bestFit="1" customWidth="1"/>
    <col min="12" max="12" width="23.5703125" bestFit="1" customWidth="1"/>
    <col min="13" max="13" width="24.42578125" bestFit="1" customWidth="1"/>
    <col min="14" max="14" width="22" bestFit="1" customWidth="1"/>
  </cols>
  <sheetData>
    <row r="1" spans="1:15" ht="15.75" x14ac:dyDescent="0.25">
      <c r="A1" s="283" t="s">
        <v>88</v>
      </c>
      <c r="B1" s="283"/>
      <c r="C1" s="283"/>
      <c r="D1" s="283"/>
      <c r="E1" s="283"/>
      <c r="F1" s="283"/>
      <c r="G1" s="283"/>
      <c r="H1" s="283"/>
      <c r="I1" s="283"/>
      <c r="J1" s="283"/>
      <c r="K1" s="283"/>
      <c r="L1" s="283"/>
      <c r="M1" s="283"/>
      <c r="N1" s="283"/>
      <c r="O1" s="53"/>
    </row>
    <row r="2" spans="1:15" ht="15.75" x14ac:dyDescent="0.25">
      <c r="A2" s="54" t="s">
        <v>89</v>
      </c>
      <c r="B2" s="54" t="s">
        <v>90</v>
      </c>
      <c r="C2" s="54" t="s">
        <v>91</v>
      </c>
      <c r="D2" s="54" t="s">
        <v>92</v>
      </c>
      <c r="E2" s="54" t="s">
        <v>93</v>
      </c>
      <c r="F2" s="54" t="s">
        <v>94</v>
      </c>
      <c r="G2" s="54" t="s">
        <v>95</v>
      </c>
      <c r="H2" s="54" t="s">
        <v>96</v>
      </c>
      <c r="I2" s="54" t="s">
        <v>15</v>
      </c>
      <c r="J2" s="54" t="s">
        <v>97</v>
      </c>
      <c r="K2" s="54" t="s">
        <v>98</v>
      </c>
      <c r="L2" s="54" t="s">
        <v>99</v>
      </c>
      <c r="M2" s="54" t="s">
        <v>100</v>
      </c>
      <c r="N2" s="54" t="s">
        <v>101</v>
      </c>
      <c r="O2" s="53"/>
    </row>
    <row r="3" spans="1:15" ht="15.75" x14ac:dyDescent="0.25">
      <c r="A3" s="54" t="s">
        <v>102</v>
      </c>
      <c r="B3" s="48"/>
      <c r="C3" s="48"/>
      <c r="D3" s="48"/>
      <c r="E3" s="87">
        <v>8.3299999999999999E-2</v>
      </c>
      <c r="F3" s="88">
        <v>0.01</v>
      </c>
      <c r="G3" s="89">
        <v>8.3299999999999999E-2</v>
      </c>
      <c r="H3" s="89">
        <v>4.1700000000000001E-2</v>
      </c>
      <c r="I3" s="88">
        <v>0.09</v>
      </c>
      <c r="J3" s="90">
        <v>0.1013</v>
      </c>
      <c r="K3" s="88">
        <v>0.08</v>
      </c>
      <c r="L3" s="88">
        <v>0.01</v>
      </c>
      <c r="M3" s="91"/>
      <c r="N3" s="91"/>
      <c r="O3" s="53"/>
    </row>
    <row r="4" spans="1:15" ht="15.75" x14ac:dyDescent="0.25">
      <c r="A4" s="54" t="s">
        <v>103</v>
      </c>
      <c r="B4" s="57">
        <v>260240</v>
      </c>
      <c r="C4" s="57">
        <v>26400</v>
      </c>
      <c r="D4" s="57">
        <f>+B4+C4</f>
        <v>286640</v>
      </c>
      <c r="E4" s="57">
        <f>+D4*E3</f>
        <v>23877.112000000001</v>
      </c>
      <c r="F4" s="57">
        <f>+E4*F3</f>
        <v>238.77112000000002</v>
      </c>
      <c r="G4" s="57">
        <f>+D4*G3</f>
        <v>23877.112000000001</v>
      </c>
      <c r="H4" s="57">
        <f>+B4*H3</f>
        <v>10852.008</v>
      </c>
      <c r="I4" s="57">
        <f>+B4*I3</f>
        <v>23421.599999999999</v>
      </c>
      <c r="J4" s="57">
        <f>+B4*J3</f>
        <v>26362.312000000002</v>
      </c>
      <c r="K4" s="57">
        <f>+B4*K3</f>
        <v>20819.2</v>
      </c>
      <c r="L4" s="57">
        <f>+B4*L3</f>
        <v>2602.4</v>
      </c>
      <c r="M4" s="57">
        <f>+L4+K4+J4+I4+H4+G4+F4+E4+D4</f>
        <v>418690.51512</v>
      </c>
      <c r="N4" s="57">
        <f>+M4*12</f>
        <v>5024286.1814399995</v>
      </c>
      <c r="O4" s="53"/>
    </row>
    <row r="5" spans="1:15" ht="15.75" x14ac:dyDescent="0.25">
      <c r="A5" s="54" t="s">
        <v>104</v>
      </c>
      <c r="B5" s="57">
        <v>260240</v>
      </c>
      <c r="C5" s="57">
        <v>26400</v>
      </c>
      <c r="D5" s="57">
        <f>+B5+C5</f>
        <v>286640</v>
      </c>
      <c r="E5" s="57">
        <f>+D5*E3</f>
        <v>23877.112000000001</v>
      </c>
      <c r="F5" s="57">
        <f>+E5*F3</f>
        <v>238.77112000000002</v>
      </c>
      <c r="G5" s="57">
        <f>+D5*G3</f>
        <v>23877.112000000001</v>
      </c>
      <c r="H5" s="57">
        <f>+B5*H3</f>
        <v>10852.008</v>
      </c>
      <c r="I5" s="57">
        <f>+B5*I3</f>
        <v>23421.599999999999</v>
      </c>
      <c r="J5" s="57">
        <f>+B5*J3</f>
        <v>26362.312000000002</v>
      </c>
      <c r="K5" s="57">
        <f>+B5*K3</f>
        <v>20819.2</v>
      </c>
      <c r="L5" s="57">
        <f>+B5*L3</f>
        <v>2602.4</v>
      </c>
      <c r="M5" s="57">
        <f>+L5+K5+J5+I5+H5+G5+F5+E5+D5</f>
        <v>418690.51512</v>
      </c>
      <c r="N5" s="57">
        <f>+M5*12</f>
        <v>5024286.1814399995</v>
      </c>
      <c r="O5" s="53"/>
    </row>
    <row r="6" spans="1:15" ht="15.75" x14ac:dyDescent="0.25">
      <c r="A6" s="54" t="s">
        <v>105</v>
      </c>
      <c r="B6" s="58">
        <f>SUM(B4:B5)</f>
        <v>520480</v>
      </c>
      <c r="C6" s="58">
        <f t="shared" ref="C6:N6" si="0">SUM(C4:C5)</f>
        <v>52800</v>
      </c>
      <c r="D6" s="58">
        <f t="shared" si="0"/>
        <v>573280</v>
      </c>
      <c r="E6" s="58">
        <f t="shared" si="0"/>
        <v>47754.224000000002</v>
      </c>
      <c r="F6" s="58">
        <f t="shared" si="0"/>
        <v>477.54224000000005</v>
      </c>
      <c r="G6" s="58">
        <f t="shared" si="0"/>
        <v>47754.224000000002</v>
      </c>
      <c r="H6" s="58">
        <f t="shared" si="0"/>
        <v>21704.016</v>
      </c>
      <c r="I6" s="58">
        <f t="shared" si="0"/>
        <v>46843.199999999997</v>
      </c>
      <c r="J6" s="58">
        <f t="shared" si="0"/>
        <v>52724.624000000003</v>
      </c>
      <c r="K6" s="58">
        <f t="shared" si="0"/>
        <v>41638.400000000001</v>
      </c>
      <c r="L6" s="58">
        <f t="shared" si="0"/>
        <v>5204.8</v>
      </c>
      <c r="M6" s="58">
        <f t="shared" si="0"/>
        <v>837381.03023999999</v>
      </c>
      <c r="N6" s="58">
        <f t="shared" si="0"/>
        <v>10048572.362879999</v>
      </c>
      <c r="O6" s="53"/>
    </row>
    <row r="7" spans="1:15" ht="15.75" x14ac:dyDescent="0.25">
      <c r="A7" s="47"/>
      <c r="B7" s="47"/>
      <c r="C7" s="47"/>
      <c r="D7" s="47"/>
      <c r="E7" s="47"/>
      <c r="F7" s="47"/>
      <c r="G7" s="47"/>
      <c r="H7" s="47"/>
      <c r="I7" s="47"/>
      <c r="J7" s="47"/>
      <c r="K7" s="47"/>
      <c r="L7" s="47"/>
      <c r="M7" s="47"/>
      <c r="N7" s="47"/>
    </row>
    <row r="8" spans="1:15" ht="15.75" x14ac:dyDescent="0.25">
      <c r="A8" s="283" t="s">
        <v>106</v>
      </c>
      <c r="B8" s="283"/>
      <c r="C8" s="283"/>
      <c r="D8" s="283"/>
      <c r="E8" s="283"/>
      <c r="F8" s="47"/>
      <c r="G8" s="47"/>
      <c r="H8" s="47"/>
      <c r="I8" s="47"/>
      <c r="J8" s="47"/>
      <c r="K8" s="47"/>
      <c r="L8" s="47"/>
      <c r="M8" s="47"/>
      <c r="N8" s="47"/>
    </row>
    <row r="9" spans="1:15" ht="15.75" x14ac:dyDescent="0.25">
      <c r="A9" s="59" t="s">
        <v>107</v>
      </c>
      <c r="B9" s="51" t="s">
        <v>108</v>
      </c>
      <c r="C9" s="51" t="s">
        <v>109</v>
      </c>
      <c r="D9" s="51" t="s">
        <v>110</v>
      </c>
      <c r="E9" s="51" t="s">
        <v>42</v>
      </c>
      <c r="F9" s="47"/>
      <c r="G9" s="47"/>
      <c r="H9" s="47"/>
      <c r="I9" s="47"/>
      <c r="J9" s="47"/>
      <c r="K9" s="47"/>
      <c r="L9" s="47"/>
      <c r="M9" s="47"/>
      <c r="N9" s="47"/>
    </row>
    <row r="10" spans="1:15" ht="15.75" x14ac:dyDescent="0.25">
      <c r="A10" s="60" t="s">
        <v>111</v>
      </c>
      <c r="B10" s="49">
        <v>3</v>
      </c>
      <c r="C10" s="49">
        <f>3*2</f>
        <v>6</v>
      </c>
      <c r="D10" s="61">
        <v>26000</v>
      </c>
      <c r="E10" s="61">
        <f>+D10*C10</f>
        <v>156000</v>
      </c>
      <c r="F10" s="47"/>
      <c r="G10" s="47"/>
      <c r="H10" s="47"/>
      <c r="I10" s="47"/>
      <c r="J10" s="47"/>
      <c r="K10" s="47"/>
      <c r="L10" s="47"/>
      <c r="M10" s="47"/>
      <c r="N10" s="47"/>
    </row>
    <row r="11" spans="1:15" ht="15.75" x14ac:dyDescent="0.25">
      <c r="A11" s="60" t="s">
        <v>112</v>
      </c>
      <c r="B11" s="49">
        <v>20</v>
      </c>
      <c r="C11" s="49">
        <f>20*2</f>
        <v>40</v>
      </c>
      <c r="D11" s="61">
        <v>2000</v>
      </c>
      <c r="E11" s="61">
        <f t="shared" ref="E11:E13" si="1">+D11*C11</f>
        <v>80000</v>
      </c>
      <c r="F11" s="47"/>
      <c r="G11" s="47"/>
      <c r="H11" s="47"/>
      <c r="I11" s="47"/>
      <c r="J11" s="47"/>
      <c r="K11" s="47"/>
      <c r="L11" s="47"/>
      <c r="M11" s="47"/>
      <c r="N11" s="47"/>
    </row>
    <row r="12" spans="1:15" ht="15.75" x14ac:dyDescent="0.25">
      <c r="A12" s="60" t="s">
        <v>113</v>
      </c>
      <c r="B12" s="49">
        <v>2</v>
      </c>
      <c r="C12" s="49">
        <v>40</v>
      </c>
      <c r="D12" s="61">
        <v>1200</v>
      </c>
      <c r="E12" s="61">
        <f t="shared" si="1"/>
        <v>48000</v>
      </c>
      <c r="F12" s="47"/>
      <c r="G12" s="47"/>
      <c r="H12" s="47"/>
      <c r="I12" s="47"/>
      <c r="J12" s="47"/>
      <c r="K12" s="47"/>
      <c r="L12" s="47"/>
      <c r="M12" s="47"/>
      <c r="N12" s="47"/>
    </row>
    <row r="13" spans="1:15" ht="15.75" x14ac:dyDescent="0.25">
      <c r="A13" s="60" t="s">
        <v>114</v>
      </c>
      <c r="B13" s="49">
        <v>3</v>
      </c>
      <c r="C13" s="49">
        <f>3*2</f>
        <v>6</v>
      </c>
      <c r="D13" s="61">
        <v>18500</v>
      </c>
      <c r="E13" s="61">
        <f t="shared" si="1"/>
        <v>111000</v>
      </c>
      <c r="F13" s="47"/>
      <c r="G13" s="47"/>
      <c r="H13" s="47"/>
      <c r="I13" s="47"/>
      <c r="J13" s="47"/>
      <c r="K13" s="47"/>
      <c r="L13" s="47"/>
      <c r="M13" s="47"/>
      <c r="N13" s="47"/>
    </row>
    <row r="14" spans="1:15" ht="15.75" x14ac:dyDescent="0.25">
      <c r="A14" s="60" t="s">
        <v>109</v>
      </c>
      <c r="B14" s="62">
        <f>+B10+B11+B12+B13</f>
        <v>28</v>
      </c>
      <c r="C14" s="62">
        <f>+C10+C11+C12+C13</f>
        <v>92</v>
      </c>
      <c r="D14" s="63"/>
      <c r="E14" s="63">
        <f>+E10+E11+E12+E13</f>
        <v>395000</v>
      </c>
      <c r="F14" s="47"/>
      <c r="G14" s="47"/>
      <c r="H14" s="47"/>
      <c r="I14" s="47"/>
      <c r="J14" s="47"/>
      <c r="K14" s="47"/>
      <c r="L14" s="47"/>
      <c r="M14" s="47"/>
      <c r="N14" s="47"/>
    </row>
    <row r="15" spans="1:15" ht="15.75" x14ac:dyDescent="0.25">
      <c r="A15" s="47"/>
      <c r="B15" s="47"/>
      <c r="C15" s="47"/>
      <c r="D15" s="47"/>
      <c r="E15" s="47"/>
      <c r="F15" s="47"/>
      <c r="G15" s="47"/>
      <c r="H15" s="47"/>
      <c r="I15" s="47"/>
      <c r="J15" s="47"/>
      <c r="K15" s="47"/>
      <c r="L15" s="47"/>
      <c r="M15" s="47"/>
      <c r="N15" s="47"/>
    </row>
    <row r="16" spans="1:15" ht="15.75" x14ac:dyDescent="0.25">
      <c r="A16" s="284" t="s">
        <v>115</v>
      </c>
      <c r="B16" s="285"/>
      <c r="C16" s="285"/>
      <c r="D16" s="285"/>
      <c r="E16" s="285"/>
      <c r="F16" s="285"/>
      <c r="G16" s="285"/>
      <c r="H16" s="285"/>
      <c r="I16" s="285"/>
      <c r="J16" s="285"/>
      <c r="K16" s="285"/>
      <c r="L16" s="285"/>
      <c r="M16" s="285"/>
      <c r="N16" s="285"/>
    </row>
    <row r="17" spans="1:14" ht="15.75" x14ac:dyDescent="0.25">
      <c r="A17" s="59" t="s">
        <v>89</v>
      </c>
      <c r="B17" s="59" t="s">
        <v>90</v>
      </c>
      <c r="C17" s="59" t="s">
        <v>91</v>
      </c>
      <c r="D17" s="59" t="s">
        <v>92</v>
      </c>
      <c r="E17" s="59" t="s">
        <v>93</v>
      </c>
      <c r="F17" s="59" t="s">
        <v>94</v>
      </c>
      <c r="G17" s="59" t="s">
        <v>95</v>
      </c>
      <c r="H17" s="59" t="s">
        <v>96</v>
      </c>
      <c r="I17" s="59" t="s">
        <v>15</v>
      </c>
      <c r="J17" s="59" t="s">
        <v>97</v>
      </c>
      <c r="K17" s="59" t="s">
        <v>98</v>
      </c>
      <c r="L17" s="59" t="s">
        <v>99</v>
      </c>
      <c r="M17" s="59" t="s">
        <v>100</v>
      </c>
      <c r="N17" s="64" t="s">
        <v>101</v>
      </c>
    </row>
    <row r="18" spans="1:14" ht="15.75" x14ac:dyDescent="0.25">
      <c r="A18" s="59" t="s">
        <v>116</v>
      </c>
      <c r="B18" s="48"/>
      <c r="C18" s="48"/>
      <c r="D18" s="48"/>
      <c r="E18" s="55">
        <f t="shared" ref="E18:L18" si="2">E3</f>
        <v>8.3299999999999999E-2</v>
      </c>
      <c r="F18" s="56">
        <f t="shared" si="2"/>
        <v>0.01</v>
      </c>
      <c r="G18" s="55">
        <f t="shared" si="2"/>
        <v>8.3299999999999999E-2</v>
      </c>
      <c r="H18" s="55">
        <f t="shared" si="2"/>
        <v>4.1700000000000001E-2</v>
      </c>
      <c r="I18" s="56">
        <f t="shared" si="2"/>
        <v>0.09</v>
      </c>
      <c r="J18" s="55">
        <f t="shared" si="2"/>
        <v>0.1013</v>
      </c>
      <c r="K18" s="56">
        <f t="shared" si="2"/>
        <v>0.08</v>
      </c>
      <c r="L18" s="56">
        <f t="shared" si="2"/>
        <v>0.01</v>
      </c>
      <c r="M18" s="48"/>
      <c r="N18" s="48"/>
    </row>
    <row r="19" spans="1:14" ht="15.75" x14ac:dyDescent="0.25">
      <c r="A19" s="59" t="s">
        <v>117</v>
      </c>
      <c r="B19" s="57">
        <v>390240</v>
      </c>
      <c r="C19" s="57">
        <v>26400</v>
      </c>
      <c r="D19" s="57">
        <f>+B19+C19</f>
        <v>416640</v>
      </c>
      <c r="E19" s="57">
        <f>+D19*E18</f>
        <v>34706.112000000001</v>
      </c>
      <c r="F19" s="57">
        <f>+E19*F18</f>
        <v>347.06112000000002</v>
      </c>
      <c r="G19" s="57">
        <f>+D19*G18</f>
        <v>34706.112000000001</v>
      </c>
      <c r="H19" s="57">
        <f>+B19*H18</f>
        <v>16273.008</v>
      </c>
      <c r="I19" s="57">
        <f>+B19*I18</f>
        <v>35121.599999999999</v>
      </c>
      <c r="J19" s="57">
        <f>+B19*J18</f>
        <v>39531.311999999998</v>
      </c>
      <c r="K19" s="57">
        <f>+B19*K18</f>
        <v>31219.200000000001</v>
      </c>
      <c r="L19" s="57">
        <f>+B19*L18</f>
        <v>3902.4</v>
      </c>
      <c r="M19" s="57">
        <f>+L19+K19+J19+I19+H19+G19+F19+E19+D19</f>
        <v>612446.80511999992</v>
      </c>
      <c r="N19" s="57">
        <f>+M19*12</f>
        <v>7349361.661439999</v>
      </c>
    </row>
    <row r="20" spans="1:14" ht="15.75" x14ac:dyDescent="0.25">
      <c r="A20" s="59" t="s">
        <v>118</v>
      </c>
      <c r="B20" s="57">
        <v>260160</v>
      </c>
      <c r="C20" s="57">
        <v>26400</v>
      </c>
      <c r="D20" s="57">
        <f>+B20+C20</f>
        <v>286560</v>
      </c>
      <c r="E20" s="57">
        <f>+D20*E18</f>
        <v>23870.448</v>
      </c>
      <c r="F20" s="57">
        <f>+E20*F18</f>
        <v>238.70448000000002</v>
      </c>
      <c r="G20" s="57">
        <f>+D20*G18</f>
        <v>23870.448</v>
      </c>
      <c r="H20" s="57">
        <f>+B20*H18</f>
        <v>10848.672</v>
      </c>
      <c r="I20" s="57">
        <f>+B20*I18</f>
        <v>23414.399999999998</v>
      </c>
      <c r="J20" s="57">
        <f>+B20*J18</f>
        <v>26354.207999999999</v>
      </c>
      <c r="K20" s="57">
        <f>+B20*K18</f>
        <v>20812.8</v>
      </c>
      <c r="L20" s="57">
        <f>+B20*L18</f>
        <v>2601.6</v>
      </c>
      <c r="M20" s="57">
        <f>+L20+K20+J20+I20+H20+G20+F20+E20+D20</f>
        <v>418571.28047999996</v>
      </c>
      <c r="N20" s="57">
        <f>+M20*12</f>
        <v>5022855.3657599995</v>
      </c>
    </row>
    <row r="21" spans="1:14" ht="15.75" x14ac:dyDescent="0.25">
      <c r="A21" s="59" t="s">
        <v>105</v>
      </c>
      <c r="B21" s="58">
        <f t="shared" ref="B21:L21" si="3">+B19+B20</f>
        <v>650400</v>
      </c>
      <c r="C21" s="58">
        <f t="shared" si="3"/>
        <v>52800</v>
      </c>
      <c r="D21" s="58">
        <f t="shared" si="3"/>
        <v>703200</v>
      </c>
      <c r="E21" s="58">
        <f t="shared" si="3"/>
        <v>58576.56</v>
      </c>
      <c r="F21" s="58">
        <f t="shared" si="3"/>
        <v>585.76560000000006</v>
      </c>
      <c r="G21" s="58">
        <f t="shared" si="3"/>
        <v>58576.56</v>
      </c>
      <c r="H21" s="58">
        <f t="shared" si="3"/>
        <v>27121.68</v>
      </c>
      <c r="I21" s="58">
        <f t="shared" si="3"/>
        <v>58536</v>
      </c>
      <c r="J21" s="58">
        <f t="shared" si="3"/>
        <v>65885.51999999999</v>
      </c>
      <c r="K21" s="58">
        <f t="shared" si="3"/>
        <v>52032</v>
      </c>
      <c r="L21" s="58">
        <f t="shared" si="3"/>
        <v>6504</v>
      </c>
      <c r="M21" s="58">
        <f>+L21+K21+J21+I21+H21+G21+F21+E21+D21</f>
        <v>1031018.0856</v>
      </c>
      <c r="N21" s="58">
        <f>+N19+N20</f>
        <v>12372217.027199998</v>
      </c>
    </row>
    <row r="22" spans="1:14" ht="15.75" x14ac:dyDescent="0.25">
      <c r="A22" s="65"/>
      <c r="B22" s="66"/>
      <c r="C22" s="66"/>
      <c r="D22" s="66"/>
      <c r="E22" s="66"/>
      <c r="F22" s="47"/>
      <c r="G22" s="47"/>
      <c r="H22" s="47"/>
      <c r="I22" s="47"/>
      <c r="J22" s="47"/>
      <c r="K22" s="47"/>
      <c r="L22" s="47"/>
      <c r="M22" s="47"/>
      <c r="N22" s="47"/>
    </row>
    <row r="23" spans="1:14" ht="15.75" x14ac:dyDescent="0.25">
      <c r="A23" s="283" t="s">
        <v>119</v>
      </c>
      <c r="B23" s="283"/>
      <c r="C23" s="283"/>
      <c r="D23" s="283"/>
      <c r="E23" s="283"/>
      <c r="F23" s="47"/>
      <c r="G23" s="47"/>
      <c r="H23" s="47"/>
      <c r="I23" s="47"/>
      <c r="J23" s="47"/>
      <c r="K23" s="47"/>
      <c r="L23" s="47"/>
      <c r="M23" s="47"/>
      <c r="N23" s="47"/>
    </row>
    <row r="24" spans="1:14" ht="15.75" x14ac:dyDescent="0.25">
      <c r="A24" s="59" t="s">
        <v>107</v>
      </c>
      <c r="B24" s="51" t="s">
        <v>120</v>
      </c>
      <c r="C24" s="51" t="s">
        <v>109</v>
      </c>
      <c r="D24" s="51" t="s">
        <v>110</v>
      </c>
      <c r="E24" s="51" t="s">
        <v>42</v>
      </c>
      <c r="F24" s="47"/>
      <c r="G24" s="47"/>
      <c r="H24" s="47"/>
      <c r="I24" s="47"/>
      <c r="J24" s="47"/>
      <c r="K24" s="47"/>
      <c r="L24" s="47"/>
      <c r="M24" s="47"/>
      <c r="N24" s="47"/>
    </row>
    <row r="25" spans="1:14" ht="15.75" x14ac:dyDescent="0.25">
      <c r="A25" s="60" t="s">
        <v>111</v>
      </c>
      <c r="B25" s="49">
        <v>3</v>
      </c>
      <c r="C25" s="49">
        <v>3</v>
      </c>
      <c r="D25" s="61">
        <v>26000</v>
      </c>
      <c r="E25" s="61">
        <f>+D25*C25</f>
        <v>78000</v>
      </c>
      <c r="F25" s="47"/>
      <c r="G25" s="47"/>
      <c r="H25" s="47"/>
      <c r="I25" s="47"/>
      <c r="J25" s="47"/>
      <c r="K25" s="47"/>
      <c r="L25" s="47"/>
      <c r="M25" s="47"/>
      <c r="N25" s="47"/>
    </row>
    <row r="26" spans="1:14" ht="15.75" x14ac:dyDescent="0.25">
      <c r="A26" s="60" t="s">
        <v>112</v>
      </c>
      <c r="B26" s="49">
        <v>10</v>
      </c>
      <c r="C26" s="49">
        <v>10</v>
      </c>
      <c r="D26" s="61">
        <v>2000</v>
      </c>
      <c r="E26" s="61">
        <f t="shared" ref="E26:E30" si="4">+D26*C26</f>
        <v>20000</v>
      </c>
      <c r="F26" s="47"/>
      <c r="G26" s="47"/>
      <c r="H26" s="47"/>
      <c r="I26" s="47"/>
      <c r="J26" s="47"/>
      <c r="K26" s="47"/>
      <c r="L26" s="47"/>
      <c r="M26" s="47"/>
      <c r="N26" s="47"/>
    </row>
    <row r="27" spans="1:14" ht="15.75" x14ac:dyDescent="0.25">
      <c r="A27" s="60" t="s">
        <v>113</v>
      </c>
      <c r="B27" s="49">
        <v>10</v>
      </c>
      <c r="C27" s="49">
        <v>10</v>
      </c>
      <c r="D27" s="61">
        <v>1200</v>
      </c>
      <c r="E27" s="61">
        <f t="shared" si="4"/>
        <v>12000</v>
      </c>
      <c r="F27" s="47"/>
      <c r="G27" s="47"/>
      <c r="H27" s="47"/>
      <c r="I27" s="47"/>
      <c r="J27" s="47"/>
      <c r="K27" s="47"/>
      <c r="L27" s="47"/>
      <c r="M27" s="47"/>
      <c r="N27" s="47"/>
    </row>
    <row r="28" spans="1:14" ht="15.75" x14ac:dyDescent="0.25">
      <c r="A28" s="60" t="s">
        <v>121</v>
      </c>
      <c r="B28" s="49">
        <v>3</v>
      </c>
      <c r="C28" s="49">
        <v>3</v>
      </c>
      <c r="D28" s="61">
        <v>35000</v>
      </c>
      <c r="E28" s="61">
        <f t="shared" si="4"/>
        <v>105000</v>
      </c>
      <c r="F28" s="47"/>
      <c r="G28" s="47"/>
      <c r="H28" s="47"/>
      <c r="I28" s="47"/>
      <c r="J28" s="47"/>
      <c r="K28" s="47"/>
      <c r="L28" s="47"/>
      <c r="M28" s="47"/>
      <c r="N28" s="47"/>
    </row>
    <row r="29" spans="1:14" ht="15.75" x14ac:dyDescent="0.25">
      <c r="A29" s="60" t="s">
        <v>122</v>
      </c>
      <c r="B29" s="49">
        <v>3</v>
      </c>
      <c r="C29" s="49">
        <v>3</v>
      </c>
      <c r="D29" s="61">
        <v>40000</v>
      </c>
      <c r="E29" s="61">
        <f t="shared" si="4"/>
        <v>120000</v>
      </c>
      <c r="F29" s="47"/>
      <c r="G29" s="47"/>
      <c r="H29" s="47"/>
      <c r="I29" s="47"/>
      <c r="J29" s="47"/>
      <c r="K29" s="47"/>
      <c r="L29" s="47"/>
      <c r="M29" s="47"/>
      <c r="N29" s="47"/>
    </row>
    <row r="30" spans="1:14" ht="15.75" x14ac:dyDescent="0.25">
      <c r="A30" s="60" t="s">
        <v>114</v>
      </c>
      <c r="B30" s="52">
        <v>3</v>
      </c>
      <c r="C30" s="52">
        <v>3</v>
      </c>
      <c r="D30" s="67">
        <v>18500</v>
      </c>
      <c r="E30" s="67">
        <f t="shared" si="4"/>
        <v>55500</v>
      </c>
      <c r="F30" s="47"/>
      <c r="G30" s="47"/>
      <c r="H30" s="47"/>
      <c r="I30" s="47"/>
      <c r="J30" s="47"/>
      <c r="K30" s="47"/>
      <c r="L30" s="47"/>
      <c r="M30" s="47"/>
      <c r="N30" s="47"/>
    </row>
    <row r="31" spans="1:14" ht="15.75" x14ac:dyDescent="0.25">
      <c r="A31" s="68" t="s">
        <v>123</v>
      </c>
      <c r="B31" s="49">
        <f>+B25+B26+B27+B28+B29+B30</f>
        <v>32</v>
      </c>
      <c r="C31" s="49">
        <f t="shared" ref="C31:E31" si="5">+C25+C26+C27+C28+C29+C30</f>
        <v>32</v>
      </c>
      <c r="D31" s="61">
        <f t="shared" si="5"/>
        <v>122700</v>
      </c>
      <c r="E31" s="61">
        <f t="shared" si="5"/>
        <v>390500</v>
      </c>
      <c r="F31" s="47"/>
      <c r="G31" s="47"/>
      <c r="H31" s="47"/>
      <c r="I31" s="47"/>
      <c r="J31" s="47"/>
      <c r="K31" s="47"/>
      <c r="L31" s="47"/>
      <c r="M31" s="47"/>
      <c r="N31" s="47"/>
    </row>
    <row r="32" spans="1:14" ht="15.75" x14ac:dyDescent="0.25">
      <c r="A32" s="66"/>
      <c r="B32" s="47"/>
      <c r="C32" s="47"/>
      <c r="D32" s="47"/>
      <c r="E32" s="47"/>
      <c r="F32" s="47"/>
      <c r="G32" s="47"/>
      <c r="H32" s="47"/>
      <c r="I32" s="47"/>
      <c r="J32" s="47"/>
      <c r="K32" s="47"/>
      <c r="L32" s="47"/>
      <c r="M32" s="47"/>
      <c r="N32" s="47"/>
    </row>
    <row r="33" spans="1:14" ht="15.75" x14ac:dyDescent="0.25">
      <c r="A33" s="283" t="s">
        <v>124</v>
      </c>
      <c r="B33" s="283"/>
      <c r="C33" s="283"/>
      <c r="D33" s="283"/>
      <c r="E33" s="283"/>
      <c r="F33" s="283"/>
      <c r="G33" s="283"/>
      <c r="H33" s="283"/>
      <c r="I33" s="283"/>
      <c r="J33" s="283"/>
      <c r="K33" s="283"/>
      <c r="L33" s="283"/>
      <c r="M33" s="283"/>
      <c r="N33" s="283"/>
    </row>
    <row r="34" spans="1:14" ht="15.75" x14ac:dyDescent="0.25">
      <c r="A34" s="54" t="s">
        <v>89</v>
      </c>
      <c r="B34" s="54" t="s">
        <v>90</v>
      </c>
      <c r="C34" s="54" t="s">
        <v>91</v>
      </c>
      <c r="D34" s="54" t="s">
        <v>92</v>
      </c>
      <c r="E34" s="54" t="s">
        <v>93</v>
      </c>
      <c r="F34" s="54" t="s">
        <v>94</v>
      </c>
      <c r="G34" s="54" t="s">
        <v>95</v>
      </c>
      <c r="H34" s="54" t="s">
        <v>96</v>
      </c>
      <c r="I34" s="54" t="s">
        <v>15</v>
      </c>
      <c r="J34" s="54" t="s">
        <v>97</v>
      </c>
      <c r="K34" s="54" t="s">
        <v>98</v>
      </c>
      <c r="L34" s="54" t="s">
        <v>99</v>
      </c>
      <c r="M34" s="54" t="s">
        <v>100</v>
      </c>
      <c r="N34" s="54" t="s">
        <v>101</v>
      </c>
    </row>
    <row r="35" spans="1:14" ht="15.75" x14ac:dyDescent="0.25">
      <c r="A35" s="54" t="s">
        <v>102</v>
      </c>
      <c r="B35" s="48"/>
      <c r="C35" s="48"/>
      <c r="D35" s="48"/>
      <c r="E35" s="55">
        <f t="shared" ref="E35:L35" si="6">E18</f>
        <v>8.3299999999999999E-2</v>
      </c>
      <c r="F35" s="56">
        <f t="shared" si="6"/>
        <v>0.01</v>
      </c>
      <c r="G35" s="55">
        <f t="shared" si="6"/>
        <v>8.3299999999999999E-2</v>
      </c>
      <c r="H35" s="55">
        <f t="shared" si="6"/>
        <v>4.1700000000000001E-2</v>
      </c>
      <c r="I35" s="56">
        <f t="shared" si="6"/>
        <v>0.09</v>
      </c>
      <c r="J35" s="55">
        <f t="shared" si="6"/>
        <v>0.1013</v>
      </c>
      <c r="K35" s="56">
        <f t="shared" si="6"/>
        <v>0.08</v>
      </c>
      <c r="L35" s="56">
        <f t="shared" si="6"/>
        <v>0.01</v>
      </c>
      <c r="M35" s="48"/>
      <c r="N35" s="48"/>
    </row>
    <row r="36" spans="1:14" ht="15.75" x14ac:dyDescent="0.25">
      <c r="A36" s="54" t="s">
        <v>125</v>
      </c>
      <c r="B36" s="57">
        <v>550000</v>
      </c>
      <c r="C36" s="57">
        <v>0</v>
      </c>
      <c r="D36" s="57">
        <f>+B36+C36</f>
        <v>550000</v>
      </c>
      <c r="E36" s="57">
        <f>+D36*E35</f>
        <v>45815</v>
      </c>
      <c r="F36" s="57">
        <f>+E36*F35</f>
        <v>458.15000000000003</v>
      </c>
      <c r="G36" s="57">
        <f>+D36*G35</f>
        <v>45815</v>
      </c>
      <c r="H36" s="57">
        <f>+B36*H35</f>
        <v>22935</v>
      </c>
      <c r="I36" s="57">
        <f>+B36*I35</f>
        <v>49500</v>
      </c>
      <c r="J36" s="57">
        <f>+B36*J35</f>
        <v>55715</v>
      </c>
      <c r="K36" s="57">
        <f>+B36*K35</f>
        <v>44000</v>
      </c>
      <c r="L36" s="57">
        <f>+B36*L35</f>
        <v>5500</v>
      </c>
      <c r="M36" s="57">
        <f>+L36+K36+J36+I36+H36+G36+F36+E36+D36</f>
        <v>819738.15</v>
      </c>
      <c r="N36" s="57">
        <f>+M36*12</f>
        <v>9836857.8000000007</v>
      </c>
    </row>
    <row r="37" spans="1:14" ht="15.75" x14ac:dyDescent="0.25">
      <c r="A37" s="54" t="s">
        <v>105</v>
      </c>
      <c r="B37" s="57">
        <v>550000</v>
      </c>
      <c r="C37" s="57">
        <v>0</v>
      </c>
      <c r="D37" s="57">
        <f>+B37+C37</f>
        <v>550000</v>
      </c>
      <c r="E37" s="58">
        <f t="shared" ref="E37:N37" si="7">+E36</f>
        <v>45815</v>
      </c>
      <c r="F37" s="57">
        <f t="shared" si="7"/>
        <v>458.15000000000003</v>
      </c>
      <c r="G37" s="58">
        <f t="shared" si="7"/>
        <v>45815</v>
      </c>
      <c r="H37" s="58">
        <f t="shared" si="7"/>
        <v>22935</v>
      </c>
      <c r="I37" s="58">
        <f t="shared" si="7"/>
        <v>49500</v>
      </c>
      <c r="J37" s="58">
        <f t="shared" si="7"/>
        <v>55715</v>
      </c>
      <c r="K37" s="58">
        <f t="shared" si="7"/>
        <v>44000</v>
      </c>
      <c r="L37" s="58">
        <f t="shared" si="7"/>
        <v>5500</v>
      </c>
      <c r="M37" s="58">
        <f t="shared" si="7"/>
        <v>819738.15</v>
      </c>
      <c r="N37" s="58">
        <f t="shared" si="7"/>
        <v>9836857.8000000007</v>
      </c>
    </row>
    <row r="38" spans="1:14" ht="15.75" x14ac:dyDescent="0.25">
      <c r="A38" s="47"/>
      <c r="B38" s="47"/>
      <c r="C38" s="66"/>
      <c r="D38" s="69"/>
      <c r="E38" s="69"/>
      <c r="F38" s="70"/>
      <c r="G38" s="47"/>
      <c r="H38" s="47"/>
      <c r="I38" s="47"/>
      <c r="J38" s="47"/>
      <c r="K38" s="47"/>
      <c r="L38" s="47"/>
      <c r="M38" s="47"/>
      <c r="N38" s="47"/>
    </row>
    <row r="39" spans="1:14" ht="15.75" x14ac:dyDescent="0.25">
      <c r="A39" s="283" t="s">
        <v>126</v>
      </c>
      <c r="B39" s="283"/>
      <c r="C39" s="283"/>
      <c r="D39" s="283"/>
      <c r="E39" s="283"/>
      <c r="F39" s="47"/>
      <c r="G39" s="47"/>
      <c r="H39" s="47"/>
      <c r="I39" s="47"/>
      <c r="J39" s="47"/>
      <c r="K39" s="47"/>
      <c r="L39" s="47"/>
      <c r="M39" s="47"/>
      <c r="N39" s="47"/>
    </row>
    <row r="40" spans="1:14" ht="15.75" x14ac:dyDescent="0.25">
      <c r="A40" s="59" t="s">
        <v>107</v>
      </c>
      <c r="B40" s="51" t="s">
        <v>120</v>
      </c>
      <c r="C40" s="51" t="s">
        <v>109</v>
      </c>
      <c r="D40" s="51" t="s">
        <v>110</v>
      </c>
      <c r="E40" s="51" t="s">
        <v>42</v>
      </c>
      <c r="F40" s="47"/>
      <c r="G40" s="47"/>
      <c r="H40" s="47"/>
      <c r="I40" s="47"/>
      <c r="J40" s="47"/>
      <c r="K40" s="47"/>
      <c r="L40" s="47"/>
      <c r="M40" s="47"/>
      <c r="N40" s="47"/>
    </row>
    <row r="41" spans="1:14" ht="15.75" x14ac:dyDescent="0.25">
      <c r="A41" s="71" t="s">
        <v>127</v>
      </c>
      <c r="B41" s="49">
        <v>3</v>
      </c>
      <c r="C41" s="49"/>
      <c r="D41" s="61"/>
      <c r="E41" s="61"/>
      <c r="F41" s="47"/>
      <c r="G41" s="47"/>
      <c r="H41" s="47"/>
      <c r="I41" s="47"/>
      <c r="J41" s="47"/>
      <c r="K41" s="47"/>
      <c r="L41" s="47"/>
      <c r="M41" s="47"/>
      <c r="N41" s="47"/>
    </row>
    <row r="42" spans="1:14" ht="15.75" x14ac:dyDescent="0.25">
      <c r="A42" s="60" t="s">
        <v>128</v>
      </c>
      <c r="B42" s="49">
        <v>3</v>
      </c>
      <c r="C42" s="49">
        <v>9</v>
      </c>
      <c r="D42" s="61">
        <v>26000</v>
      </c>
      <c r="E42" s="61">
        <f t="shared" ref="E42:E43" si="8">+D42*C42</f>
        <v>234000</v>
      </c>
      <c r="F42" s="47"/>
      <c r="G42" s="47"/>
      <c r="H42" s="47"/>
      <c r="I42" s="47"/>
      <c r="J42" s="47"/>
      <c r="K42" s="47"/>
      <c r="L42" s="47"/>
      <c r="M42" s="47"/>
      <c r="N42" s="47"/>
    </row>
    <row r="43" spans="1:14" ht="15.75" x14ac:dyDescent="0.25">
      <c r="A43" s="60" t="s">
        <v>112</v>
      </c>
      <c r="B43" s="52">
        <v>20</v>
      </c>
      <c r="C43" s="52">
        <v>60</v>
      </c>
      <c r="D43" s="67">
        <v>2000</v>
      </c>
      <c r="E43" s="67">
        <f t="shared" si="8"/>
        <v>120000</v>
      </c>
      <c r="F43" s="47"/>
      <c r="G43" s="47"/>
      <c r="H43" s="47"/>
      <c r="I43" s="47"/>
      <c r="J43" s="47"/>
      <c r="K43" s="47"/>
      <c r="L43" s="47"/>
      <c r="M43" s="47"/>
      <c r="N43" s="47"/>
    </row>
    <row r="44" spans="1:14" ht="15.75" x14ac:dyDescent="0.25">
      <c r="A44" s="60" t="s">
        <v>113</v>
      </c>
      <c r="B44" s="49">
        <v>20</v>
      </c>
      <c r="C44" s="49">
        <v>60</v>
      </c>
      <c r="D44" s="61">
        <v>1200</v>
      </c>
      <c r="E44" s="61">
        <f>+D44*C44</f>
        <v>72000</v>
      </c>
      <c r="F44" s="47"/>
      <c r="G44" s="47"/>
      <c r="H44" s="47"/>
      <c r="I44" s="47"/>
      <c r="J44" s="47"/>
      <c r="K44" s="47"/>
      <c r="L44" s="47"/>
      <c r="M44" s="47"/>
      <c r="N44" s="47"/>
    </row>
    <row r="45" spans="1:14" ht="15.75" x14ac:dyDescent="0.25">
      <c r="A45" s="60" t="s">
        <v>114</v>
      </c>
      <c r="B45" s="52">
        <v>3</v>
      </c>
      <c r="C45" s="52">
        <v>9</v>
      </c>
      <c r="D45" s="61">
        <v>18500</v>
      </c>
      <c r="E45" s="61">
        <f>+D45*C45</f>
        <v>166500</v>
      </c>
      <c r="F45" s="47"/>
      <c r="G45" s="47"/>
      <c r="H45" s="47"/>
      <c r="I45" s="47"/>
      <c r="J45" s="47"/>
      <c r="K45" s="47"/>
      <c r="L45" s="47"/>
      <c r="M45" s="47"/>
      <c r="N45" s="47"/>
    </row>
    <row r="46" spans="1:14" ht="15.75" x14ac:dyDescent="0.25">
      <c r="A46" s="68" t="s">
        <v>123</v>
      </c>
      <c r="B46" s="49">
        <f>+B41+B42+B43+B44+B45</f>
        <v>49</v>
      </c>
      <c r="C46" s="49">
        <f t="shared" ref="C46:E46" si="9">+C41+C42+C43+C44+C45</f>
        <v>138</v>
      </c>
      <c r="D46" s="61">
        <f t="shared" si="9"/>
        <v>47700</v>
      </c>
      <c r="E46" s="61">
        <f t="shared" si="9"/>
        <v>592500</v>
      </c>
      <c r="F46" s="47"/>
      <c r="G46" s="47"/>
      <c r="H46" s="47"/>
      <c r="I46" s="47"/>
      <c r="J46" s="47"/>
      <c r="K46" s="47"/>
      <c r="L46" s="47"/>
      <c r="M46" s="47"/>
      <c r="N46" s="47"/>
    </row>
    <row r="53" spans="1:4" ht="15.75" x14ac:dyDescent="0.25">
      <c r="A53" s="50"/>
      <c r="B53" s="72"/>
      <c r="C53" s="72"/>
      <c r="D53" s="72"/>
    </row>
    <row r="54" spans="1:4" ht="15.75" x14ac:dyDescent="0.25">
      <c r="A54" s="50"/>
      <c r="B54" s="73"/>
      <c r="C54" s="73"/>
      <c r="D54" s="73"/>
    </row>
    <row r="55" spans="1:4" ht="15.75" x14ac:dyDescent="0.25">
      <c r="A55" s="72"/>
      <c r="B55" s="74"/>
      <c r="C55" s="74"/>
      <c r="D55" s="75"/>
    </row>
    <row r="56" spans="1:4" ht="15.75" x14ac:dyDescent="0.25">
      <c r="A56" s="73"/>
      <c r="B56" s="74"/>
      <c r="C56" s="74"/>
      <c r="D56" s="75"/>
    </row>
    <row r="57" spans="1:4" ht="15.75" x14ac:dyDescent="0.25">
      <c r="A57" s="75"/>
      <c r="B57" s="74"/>
      <c r="C57" s="74"/>
      <c r="D57" s="75"/>
    </row>
    <row r="58" spans="1:4" ht="15.75" x14ac:dyDescent="0.25">
      <c r="A58" s="75"/>
      <c r="B58" s="74"/>
      <c r="C58" s="74"/>
      <c r="D58" s="75"/>
    </row>
    <row r="59" spans="1:4" ht="15.75" x14ac:dyDescent="0.25">
      <c r="A59" s="75"/>
      <c r="B59" s="50"/>
      <c r="C59" s="50"/>
      <c r="D59" s="50"/>
    </row>
    <row r="60" spans="1:4" ht="15.75" x14ac:dyDescent="0.25">
      <c r="A60" s="75"/>
      <c r="B60" s="50"/>
      <c r="C60" s="50"/>
      <c r="D60" s="50"/>
    </row>
  </sheetData>
  <mergeCells count="6">
    <mergeCell ref="A39:E39"/>
    <mergeCell ref="A1:N1"/>
    <mergeCell ref="A8:E8"/>
    <mergeCell ref="A16:N16"/>
    <mergeCell ref="A23:E23"/>
    <mergeCell ref="A33:N33"/>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7"/>
  <sheetViews>
    <sheetView topLeftCell="A62" zoomScale="90" zoomScaleNormal="90" workbookViewId="0">
      <selection activeCell="D48" sqref="D48"/>
    </sheetView>
  </sheetViews>
  <sheetFormatPr baseColWidth="10" defaultRowHeight="15" x14ac:dyDescent="0.25"/>
  <cols>
    <col min="1" max="1" width="69.140625" bestFit="1" customWidth="1"/>
    <col min="3" max="3" width="13.42578125" bestFit="1" customWidth="1"/>
  </cols>
  <sheetData>
    <row r="1" spans="1:11" x14ac:dyDescent="0.25">
      <c r="A1" s="261" t="s">
        <v>129</v>
      </c>
      <c r="B1" s="261"/>
      <c r="C1" s="261"/>
      <c r="D1" s="261"/>
      <c r="E1" s="261"/>
      <c r="F1" s="261"/>
      <c r="G1" s="261"/>
      <c r="H1" s="261"/>
      <c r="I1" s="261"/>
      <c r="J1" s="261"/>
      <c r="K1" s="261"/>
    </row>
    <row r="2" spans="1:11" s="1" customFormat="1" x14ac:dyDescent="0.25">
      <c r="A2" s="19" t="s">
        <v>130</v>
      </c>
      <c r="B2" s="19" t="s">
        <v>43</v>
      </c>
      <c r="C2" s="19" t="s">
        <v>131</v>
      </c>
      <c r="D2" s="19" t="s">
        <v>132</v>
      </c>
      <c r="E2" s="19" t="s">
        <v>133</v>
      </c>
      <c r="F2" s="19" t="s">
        <v>2</v>
      </c>
      <c r="G2" s="19" t="s">
        <v>3</v>
      </c>
      <c r="H2" s="19" t="s">
        <v>4</v>
      </c>
      <c r="I2" s="19" t="s">
        <v>5</v>
      </c>
      <c r="J2" s="19" t="s">
        <v>6</v>
      </c>
      <c r="K2" s="19" t="s">
        <v>134</v>
      </c>
    </row>
    <row r="3" spans="1:11" x14ac:dyDescent="0.25">
      <c r="A3" s="76" t="s">
        <v>135</v>
      </c>
      <c r="B3" s="2"/>
      <c r="C3" s="2"/>
      <c r="D3" s="2"/>
      <c r="E3" s="2"/>
      <c r="F3" s="76"/>
      <c r="G3" s="76"/>
      <c r="H3" s="76"/>
      <c r="I3" s="76"/>
      <c r="J3" s="76"/>
      <c r="K3" s="76"/>
    </row>
    <row r="4" spans="1:11" ht="15.75" x14ac:dyDescent="0.25">
      <c r="A4" s="77" t="s">
        <v>136</v>
      </c>
      <c r="B4" s="78">
        <v>2</v>
      </c>
      <c r="C4" s="79">
        <v>134560</v>
      </c>
      <c r="D4" s="79">
        <f>B4*C4</f>
        <v>269120</v>
      </c>
      <c r="E4" s="78">
        <v>10</v>
      </c>
      <c r="F4" s="39">
        <f>+($D4)/($E4)</f>
        <v>26912</v>
      </c>
      <c r="G4" s="39">
        <f t="shared" ref="G4:J19" si="0">+($D4)/($E4)</f>
        <v>26912</v>
      </c>
      <c r="H4" s="39">
        <f t="shared" si="0"/>
        <v>26912</v>
      </c>
      <c r="I4" s="39">
        <f t="shared" si="0"/>
        <v>26912</v>
      </c>
      <c r="J4" s="39">
        <f t="shared" si="0"/>
        <v>26912</v>
      </c>
      <c r="K4" s="39">
        <f>+D4-F4-G4-H4-I4-J4</f>
        <v>134560</v>
      </c>
    </row>
    <row r="5" spans="1:11" ht="15.75" x14ac:dyDescent="0.25">
      <c r="A5" s="77" t="s">
        <v>137</v>
      </c>
      <c r="B5" s="78">
        <v>1</v>
      </c>
      <c r="C5" s="79">
        <v>765000</v>
      </c>
      <c r="D5" s="79">
        <f t="shared" ref="D5:D25" si="1">B5*C5</f>
        <v>765000</v>
      </c>
      <c r="E5" s="78">
        <v>10</v>
      </c>
      <c r="F5" s="39">
        <f t="shared" ref="F5:J25" si="2">+($D5)/($E5)</f>
        <v>76500</v>
      </c>
      <c r="G5" s="39">
        <f t="shared" si="0"/>
        <v>76500</v>
      </c>
      <c r="H5" s="39">
        <f t="shared" si="0"/>
        <v>76500</v>
      </c>
      <c r="I5" s="39">
        <f t="shared" si="0"/>
        <v>76500</v>
      </c>
      <c r="J5" s="39">
        <f t="shared" si="0"/>
        <v>76500</v>
      </c>
      <c r="K5" s="39">
        <f t="shared" ref="K5:K25" si="3">+D5-F5-G5-H5-I5-J5</f>
        <v>382500</v>
      </c>
    </row>
    <row r="6" spans="1:11" ht="15.75" x14ac:dyDescent="0.25">
      <c r="A6" s="77" t="s">
        <v>138</v>
      </c>
      <c r="B6" s="78">
        <v>1</v>
      </c>
      <c r="C6" s="79">
        <v>550000</v>
      </c>
      <c r="D6" s="79">
        <f t="shared" si="1"/>
        <v>550000</v>
      </c>
      <c r="E6" s="78">
        <v>10</v>
      </c>
      <c r="F6" s="39">
        <f t="shared" si="2"/>
        <v>55000</v>
      </c>
      <c r="G6" s="39">
        <f t="shared" si="0"/>
        <v>55000</v>
      </c>
      <c r="H6" s="39">
        <f t="shared" si="0"/>
        <v>55000</v>
      </c>
      <c r="I6" s="39">
        <f t="shared" si="0"/>
        <v>55000</v>
      </c>
      <c r="J6" s="39">
        <f t="shared" si="0"/>
        <v>55000</v>
      </c>
      <c r="K6" s="39">
        <f t="shared" si="3"/>
        <v>275000</v>
      </c>
    </row>
    <row r="7" spans="1:11" ht="15.75" x14ac:dyDescent="0.25">
      <c r="A7" s="77" t="s">
        <v>139</v>
      </c>
      <c r="B7" s="78">
        <v>1</v>
      </c>
      <c r="C7" s="79">
        <v>1000000</v>
      </c>
      <c r="D7" s="79">
        <f t="shared" si="1"/>
        <v>1000000</v>
      </c>
      <c r="E7" s="78">
        <v>10</v>
      </c>
      <c r="F7" s="39">
        <f t="shared" si="2"/>
        <v>100000</v>
      </c>
      <c r="G7" s="39">
        <f t="shared" si="0"/>
        <v>100000</v>
      </c>
      <c r="H7" s="39">
        <f t="shared" si="0"/>
        <v>100000</v>
      </c>
      <c r="I7" s="39">
        <f t="shared" si="0"/>
        <v>100000</v>
      </c>
      <c r="J7" s="39">
        <f t="shared" si="0"/>
        <v>100000</v>
      </c>
      <c r="K7" s="39">
        <f t="shared" si="3"/>
        <v>500000</v>
      </c>
    </row>
    <row r="8" spans="1:11" ht="15.75" x14ac:dyDescent="0.25">
      <c r="A8" s="77" t="s">
        <v>140</v>
      </c>
      <c r="B8" s="78">
        <v>1</v>
      </c>
      <c r="C8" s="79">
        <v>200000</v>
      </c>
      <c r="D8" s="79">
        <f t="shared" si="1"/>
        <v>200000</v>
      </c>
      <c r="E8" s="78">
        <v>10</v>
      </c>
      <c r="F8" s="39">
        <f t="shared" si="2"/>
        <v>20000</v>
      </c>
      <c r="G8" s="39">
        <f t="shared" si="0"/>
        <v>20000</v>
      </c>
      <c r="H8" s="39">
        <f t="shared" si="0"/>
        <v>20000</v>
      </c>
      <c r="I8" s="39">
        <f t="shared" si="0"/>
        <v>20000</v>
      </c>
      <c r="J8" s="39">
        <f t="shared" si="0"/>
        <v>20000</v>
      </c>
      <c r="K8" s="39">
        <f t="shared" si="3"/>
        <v>100000</v>
      </c>
    </row>
    <row r="9" spans="1:11" ht="15.75" x14ac:dyDescent="0.25">
      <c r="A9" s="77" t="s">
        <v>141</v>
      </c>
      <c r="B9" s="78">
        <v>1</v>
      </c>
      <c r="C9" s="79">
        <v>330000</v>
      </c>
      <c r="D9" s="79">
        <f t="shared" si="1"/>
        <v>330000</v>
      </c>
      <c r="E9" s="78">
        <v>10</v>
      </c>
      <c r="F9" s="39">
        <f t="shared" si="2"/>
        <v>33000</v>
      </c>
      <c r="G9" s="39">
        <f t="shared" si="0"/>
        <v>33000</v>
      </c>
      <c r="H9" s="39">
        <f t="shared" si="0"/>
        <v>33000</v>
      </c>
      <c r="I9" s="39">
        <f t="shared" si="0"/>
        <v>33000</v>
      </c>
      <c r="J9" s="39">
        <f t="shared" si="0"/>
        <v>33000</v>
      </c>
      <c r="K9" s="39">
        <f t="shared" si="3"/>
        <v>165000</v>
      </c>
    </row>
    <row r="10" spans="1:11" ht="15.75" x14ac:dyDescent="0.25">
      <c r="A10" s="77" t="s">
        <v>142</v>
      </c>
      <c r="B10" s="78">
        <v>1</v>
      </c>
      <c r="C10" s="79">
        <v>200000</v>
      </c>
      <c r="D10" s="79">
        <f t="shared" si="1"/>
        <v>200000</v>
      </c>
      <c r="E10" s="78">
        <v>10</v>
      </c>
      <c r="F10" s="39">
        <f t="shared" si="2"/>
        <v>20000</v>
      </c>
      <c r="G10" s="39">
        <f t="shared" si="0"/>
        <v>20000</v>
      </c>
      <c r="H10" s="39">
        <f t="shared" si="0"/>
        <v>20000</v>
      </c>
      <c r="I10" s="39">
        <f t="shared" si="0"/>
        <v>20000</v>
      </c>
      <c r="J10" s="39">
        <f t="shared" si="0"/>
        <v>20000</v>
      </c>
      <c r="K10" s="39">
        <f t="shared" si="3"/>
        <v>100000</v>
      </c>
    </row>
    <row r="11" spans="1:11" ht="15.75" x14ac:dyDescent="0.25">
      <c r="A11" s="77" t="s">
        <v>143</v>
      </c>
      <c r="B11" s="78">
        <v>1</v>
      </c>
      <c r="C11" s="79">
        <v>30000</v>
      </c>
      <c r="D11" s="79">
        <f t="shared" si="1"/>
        <v>30000</v>
      </c>
      <c r="E11" s="78">
        <v>10</v>
      </c>
      <c r="F11" s="39">
        <f t="shared" si="2"/>
        <v>3000</v>
      </c>
      <c r="G11" s="39">
        <f t="shared" si="0"/>
        <v>3000</v>
      </c>
      <c r="H11" s="39">
        <f t="shared" si="0"/>
        <v>3000</v>
      </c>
      <c r="I11" s="39">
        <f t="shared" si="0"/>
        <v>3000</v>
      </c>
      <c r="J11" s="39">
        <f t="shared" si="0"/>
        <v>3000</v>
      </c>
      <c r="K11" s="39">
        <f t="shared" si="3"/>
        <v>15000</v>
      </c>
    </row>
    <row r="12" spans="1:11" ht="15.75" x14ac:dyDescent="0.25">
      <c r="A12" s="77" t="s">
        <v>144</v>
      </c>
      <c r="B12" s="78">
        <v>1</v>
      </c>
      <c r="C12" s="79">
        <v>160000</v>
      </c>
      <c r="D12" s="79">
        <f t="shared" si="1"/>
        <v>160000</v>
      </c>
      <c r="E12" s="78">
        <v>5</v>
      </c>
      <c r="F12" s="39">
        <f t="shared" si="2"/>
        <v>32000</v>
      </c>
      <c r="G12" s="39">
        <f t="shared" si="0"/>
        <v>32000</v>
      </c>
      <c r="H12" s="39">
        <f t="shared" si="0"/>
        <v>32000</v>
      </c>
      <c r="I12" s="39">
        <f t="shared" si="0"/>
        <v>32000</v>
      </c>
      <c r="J12" s="39">
        <f t="shared" si="0"/>
        <v>32000</v>
      </c>
      <c r="K12" s="39">
        <f t="shared" si="3"/>
        <v>0</v>
      </c>
    </row>
    <row r="13" spans="1:11" ht="15.75" x14ac:dyDescent="0.25">
      <c r="A13" s="77" t="s">
        <v>145</v>
      </c>
      <c r="B13" s="78">
        <v>1</v>
      </c>
      <c r="C13" s="79">
        <v>30000</v>
      </c>
      <c r="D13" s="79">
        <f t="shared" si="1"/>
        <v>30000</v>
      </c>
      <c r="E13" s="78">
        <v>10</v>
      </c>
      <c r="F13" s="39">
        <f t="shared" si="2"/>
        <v>3000</v>
      </c>
      <c r="G13" s="39">
        <f t="shared" si="0"/>
        <v>3000</v>
      </c>
      <c r="H13" s="39">
        <f t="shared" si="0"/>
        <v>3000</v>
      </c>
      <c r="I13" s="39">
        <f t="shared" si="0"/>
        <v>3000</v>
      </c>
      <c r="J13" s="39">
        <f t="shared" si="0"/>
        <v>3000</v>
      </c>
      <c r="K13" s="39">
        <f t="shared" si="3"/>
        <v>15000</v>
      </c>
    </row>
    <row r="14" spans="1:11" ht="15.75" x14ac:dyDescent="0.25">
      <c r="A14" s="77" t="s">
        <v>146</v>
      </c>
      <c r="B14" s="78">
        <v>4</v>
      </c>
      <c r="C14" s="79">
        <v>12000</v>
      </c>
      <c r="D14" s="79">
        <f t="shared" si="1"/>
        <v>48000</v>
      </c>
      <c r="E14" s="78">
        <v>10</v>
      </c>
      <c r="F14" s="39">
        <f t="shared" si="2"/>
        <v>4800</v>
      </c>
      <c r="G14" s="39">
        <f t="shared" si="0"/>
        <v>4800</v>
      </c>
      <c r="H14" s="39">
        <f t="shared" si="0"/>
        <v>4800</v>
      </c>
      <c r="I14" s="39">
        <f t="shared" si="0"/>
        <v>4800</v>
      </c>
      <c r="J14" s="39">
        <f t="shared" si="0"/>
        <v>4800</v>
      </c>
      <c r="K14" s="39">
        <f t="shared" si="3"/>
        <v>24000</v>
      </c>
    </row>
    <row r="15" spans="1:11" ht="15.75" x14ac:dyDescent="0.25">
      <c r="A15" s="77" t="s">
        <v>147</v>
      </c>
      <c r="B15" s="78">
        <v>3</v>
      </c>
      <c r="C15" s="79">
        <v>133334</v>
      </c>
      <c r="D15" s="79">
        <f t="shared" si="1"/>
        <v>400002</v>
      </c>
      <c r="E15" s="78">
        <v>10</v>
      </c>
      <c r="F15" s="39">
        <f t="shared" si="2"/>
        <v>40000.199999999997</v>
      </c>
      <c r="G15" s="39">
        <f t="shared" si="0"/>
        <v>40000.199999999997</v>
      </c>
      <c r="H15" s="39">
        <f t="shared" si="0"/>
        <v>40000.199999999997</v>
      </c>
      <c r="I15" s="39">
        <f t="shared" si="0"/>
        <v>40000.199999999997</v>
      </c>
      <c r="J15" s="39">
        <f t="shared" si="0"/>
        <v>40000.199999999997</v>
      </c>
      <c r="K15" s="39">
        <f t="shared" si="3"/>
        <v>200000.99999999994</v>
      </c>
    </row>
    <row r="16" spans="1:11" ht="15.75" x14ac:dyDescent="0.25">
      <c r="A16" s="77" t="s">
        <v>148</v>
      </c>
      <c r="B16" s="78">
        <v>1</v>
      </c>
      <c r="C16" s="79">
        <v>200000</v>
      </c>
      <c r="D16" s="79">
        <f t="shared" si="1"/>
        <v>200000</v>
      </c>
      <c r="E16" s="78">
        <v>5</v>
      </c>
      <c r="F16" s="39">
        <f t="shared" si="2"/>
        <v>40000</v>
      </c>
      <c r="G16" s="39">
        <f t="shared" si="0"/>
        <v>40000</v>
      </c>
      <c r="H16" s="39">
        <f t="shared" si="0"/>
        <v>40000</v>
      </c>
      <c r="I16" s="39">
        <f t="shared" si="0"/>
        <v>40000</v>
      </c>
      <c r="J16" s="39">
        <f t="shared" si="0"/>
        <v>40000</v>
      </c>
      <c r="K16" s="39">
        <f t="shared" si="3"/>
        <v>0</v>
      </c>
    </row>
    <row r="17" spans="1:11" ht="15.75" x14ac:dyDescent="0.25">
      <c r="A17" s="77" t="s">
        <v>149</v>
      </c>
      <c r="B17" s="78">
        <v>1</v>
      </c>
      <c r="C17" s="79">
        <v>200000</v>
      </c>
      <c r="D17" s="79">
        <f t="shared" si="1"/>
        <v>200000</v>
      </c>
      <c r="E17" s="78">
        <v>10</v>
      </c>
      <c r="F17" s="39">
        <f t="shared" si="2"/>
        <v>20000</v>
      </c>
      <c r="G17" s="39">
        <f t="shared" si="0"/>
        <v>20000</v>
      </c>
      <c r="H17" s="39">
        <f t="shared" si="0"/>
        <v>20000</v>
      </c>
      <c r="I17" s="39">
        <f t="shared" si="0"/>
        <v>20000</v>
      </c>
      <c r="J17" s="39">
        <f t="shared" si="0"/>
        <v>20000</v>
      </c>
      <c r="K17" s="39">
        <f t="shared" si="3"/>
        <v>100000</v>
      </c>
    </row>
    <row r="18" spans="1:11" ht="15.75" x14ac:dyDescent="0.25">
      <c r="A18" s="77" t="s">
        <v>150</v>
      </c>
      <c r="B18" s="78">
        <v>8</v>
      </c>
      <c r="C18" s="79">
        <v>13000</v>
      </c>
      <c r="D18" s="79">
        <f t="shared" si="1"/>
        <v>104000</v>
      </c>
      <c r="E18" s="78">
        <v>10</v>
      </c>
      <c r="F18" s="39">
        <f t="shared" si="2"/>
        <v>10400</v>
      </c>
      <c r="G18" s="39">
        <f t="shared" si="0"/>
        <v>10400</v>
      </c>
      <c r="H18" s="39">
        <f t="shared" si="0"/>
        <v>10400</v>
      </c>
      <c r="I18" s="39">
        <f t="shared" si="0"/>
        <v>10400</v>
      </c>
      <c r="J18" s="39">
        <f t="shared" si="0"/>
        <v>10400</v>
      </c>
      <c r="K18" s="39">
        <f t="shared" si="3"/>
        <v>52000</v>
      </c>
    </row>
    <row r="19" spans="1:11" ht="15.75" x14ac:dyDescent="0.25">
      <c r="A19" s="77" t="s">
        <v>151</v>
      </c>
      <c r="B19" s="78">
        <v>1</v>
      </c>
      <c r="C19" s="79">
        <v>50000</v>
      </c>
      <c r="D19" s="79">
        <f t="shared" si="1"/>
        <v>50000</v>
      </c>
      <c r="E19" s="78">
        <v>10</v>
      </c>
      <c r="F19" s="39">
        <f t="shared" si="2"/>
        <v>5000</v>
      </c>
      <c r="G19" s="39">
        <f t="shared" si="0"/>
        <v>5000</v>
      </c>
      <c r="H19" s="39">
        <f t="shared" si="0"/>
        <v>5000</v>
      </c>
      <c r="I19" s="39">
        <f t="shared" si="0"/>
        <v>5000</v>
      </c>
      <c r="J19" s="39">
        <f t="shared" si="0"/>
        <v>5000</v>
      </c>
      <c r="K19" s="39">
        <f t="shared" si="3"/>
        <v>25000</v>
      </c>
    </row>
    <row r="20" spans="1:11" ht="15.75" x14ac:dyDescent="0.25">
      <c r="A20" s="77" t="s">
        <v>152</v>
      </c>
      <c r="B20" s="78">
        <v>1</v>
      </c>
      <c r="C20" s="79">
        <v>300000</v>
      </c>
      <c r="D20" s="79">
        <f t="shared" si="1"/>
        <v>300000</v>
      </c>
      <c r="E20" s="78">
        <v>10</v>
      </c>
      <c r="F20" s="39">
        <f t="shared" si="2"/>
        <v>30000</v>
      </c>
      <c r="G20" s="39">
        <f t="shared" si="2"/>
        <v>30000</v>
      </c>
      <c r="H20" s="39">
        <f t="shared" si="2"/>
        <v>30000</v>
      </c>
      <c r="I20" s="39">
        <f t="shared" si="2"/>
        <v>30000</v>
      </c>
      <c r="J20" s="39">
        <f t="shared" si="2"/>
        <v>30000</v>
      </c>
      <c r="K20" s="39">
        <f t="shared" si="3"/>
        <v>150000</v>
      </c>
    </row>
    <row r="21" spans="1:11" ht="15.75" x14ac:dyDescent="0.25">
      <c r="A21" s="77" t="s">
        <v>153</v>
      </c>
      <c r="B21" s="78">
        <v>1</v>
      </c>
      <c r="C21" s="79">
        <v>140000</v>
      </c>
      <c r="D21" s="79">
        <f t="shared" si="1"/>
        <v>140000</v>
      </c>
      <c r="E21" s="78">
        <v>10</v>
      </c>
      <c r="F21" s="39">
        <f t="shared" si="2"/>
        <v>14000</v>
      </c>
      <c r="G21" s="39">
        <f t="shared" si="2"/>
        <v>14000</v>
      </c>
      <c r="H21" s="39">
        <f t="shared" si="2"/>
        <v>14000</v>
      </c>
      <c r="I21" s="39">
        <f t="shared" si="2"/>
        <v>14000</v>
      </c>
      <c r="J21" s="39">
        <f t="shared" si="2"/>
        <v>14000</v>
      </c>
      <c r="K21" s="39">
        <f t="shared" si="3"/>
        <v>70000</v>
      </c>
    </row>
    <row r="22" spans="1:11" ht="15.75" x14ac:dyDescent="0.25">
      <c r="A22" s="77" t="s">
        <v>154</v>
      </c>
      <c r="B22" s="78">
        <v>1</v>
      </c>
      <c r="C22" s="79">
        <v>300000</v>
      </c>
      <c r="D22" s="79">
        <f t="shared" si="1"/>
        <v>300000</v>
      </c>
      <c r="E22" s="78">
        <v>10</v>
      </c>
      <c r="F22" s="39">
        <f t="shared" si="2"/>
        <v>30000</v>
      </c>
      <c r="G22" s="39">
        <f t="shared" si="2"/>
        <v>30000</v>
      </c>
      <c r="H22" s="39">
        <f t="shared" si="2"/>
        <v>30000</v>
      </c>
      <c r="I22" s="39">
        <f t="shared" si="2"/>
        <v>30000</v>
      </c>
      <c r="J22" s="39">
        <f t="shared" si="2"/>
        <v>30000</v>
      </c>
      <c r="K22" s="39">
        <f t="shared" si="3"/>
        <v>150000</v>
      </c>
    </row>
    <row r="23" spans="1:11" ht="15.75" x14ac:dyDescent="0.25">
      <c r="A23" s="77" t="s">
        <v>155</v>
      </c>
      <c r="B23" s="78">
        <v>1</v>
      </c>
      <c r="C23" s="79">
        <v>350000</v>
      </c>
      <c r="D23" s="79">
        <f t="shared" si="1"/>
        <v>350000</v>
      </c>
      <c r="E23" s="78">
        <v>10</v>
      </c>
      <c r="F23" s="39">
        <f t="shared" si="2"/>
        <v>35000</v>
      </c>
      <c r="G23" s="39">
        <f t="shared" si="2"/>
        <v>35000</v>
      </c>
      <c r="H23" s="39">
        <f t="shared" si="2"/>
        <v>35000</v>
      </c>
      <c r="I23" s="39">
        <f t="shared" si="2"/>
        <v>35000</v>
      </c>
      <c r="J23" s="39">
        <f t="shared" si="2"/>
        <v>35000</v>
      </c>
      <c r="K23" s="39">
        <f t="shared" si="3"/>
        <v>175000</v>
      </c>
    </row>
    <row r="24" spans="1:11" ht="15.75" x14ac:dyDescent="0.25">
      <c r="A24" s="77" t="s">
        <v>156</v>
      </c>
      <c r="B24" s="78">
        <v>1</v>
      </c>
      <c r="C24" s="79">
        <v>27000</v>
      </c>
      <c r="D24" s="79">
        <f t="shared" si="1"/>
        <v>27000</v>
      </c>
      <c r="E24" s="78">
        <v>5</v>
      </c>
      <c r="F24" s="39">
        <f t="shared" si="2"/>
        <v>5400</v>
      </c>
      <c r="G24" s="39">
        <f t="shared" si="2"/>
        <v>5400</v>
      </c>
      <c r="H24" s="39">
        <f t="shared" si="2"/>
        <v>5400</v>
      </c>
      <c r="I24" s="39">
        <f t="shared" si="2"/>
        <v>5400</v>
      </c>
      <c r="J24" s="39">
        <f t="shared" si="2"/>
        <v>5400</v>
      </c>
      <c r="K24" s="39">
        <f t="shared" si="3"/>
        <v>0</v>
      </c>
    </row>
    <row r="25" spans="1:11" ht="15.75" x14ac:dyDescent="0.25">
      <c r="A25" s="77" t="s">
        <v>157</v>
      </c>
      <c r="B25" s="78">
        <v>1</v>
      </c>
      <c r="C25" s="79">
        <v>120000</v>
      </c>
      <c r="D25" s="79">
        <f t="shared" si="1"/>
        <v>120000</v>
      </c>
      <c r="E25" s="78">
        <v>10</v>
      </c>
      <c r="F25" s="39">
        <f t="shared" si="2"/>
        <v>12000</v>
      </c>
      <c r="G25" s="39">
        <f t="shared" si="2"/>
        <v>12000</v>
      </c>
      <c r="H25" s="39">
        <f t="shared" si="2"/>
        <v>12000</v>
      </c>
      <c r="I25" s="39">
        <f t="shared" si="2"/>
        <v>12000</v>
      </c>
      <c r="J25" s="39">
        <f t="shared" si="2"/>
        <v>12000</v>
      </c>
      <c r="K25" s="39">
        <f t="shared" si="3"/>
        <v>60000</v>
      </c>
    </row>
    <row r="26" spans="1:11" s="4" customFormat="1" ht="15.75" x14ac:dyDescent="0.25">
      <c r="A26" s="80" t="s">
        <v>158</v>
      </c>
      <c r="B26" s="81">
        <f>SUM(B4:B25)</f>
        <v>35</v>
      </c>
      <c r="C26" s="81">
        <f t="shared" ref="C26:K26" si="4">SUM(C4:C25)</f>
        <v>5244894</v>
      </c>
      <c r="D26" s="81">
        <f>SUM(D4:D25)</f>
        <v>5773122</v>
      </c>
      <c r="E26" s="81"/>
      <c r="F26" s="81">
        <f t="shared" si="4"/>
        <v>616012.19999999995</v>
      </c>
      <c r="G26" s="81">
        <f t="shared" si="4"/>
        <v>616012.19999999995</v>
      </c>
      <c r="H26" s="81">
        <f t="shared" si="4"/>
        <v>616012.19999999995</v>
      </c>
      <c r="I26" s="81">
        <f t="shared" si="4"/>
        <v>616012.19999999995</v>
      </c>
      <c r="J26" s="81">
        <f t="shared" si="4"/>
        <v>616012.19999999995</v>
      </c>
      <c r="K26" s="81">
        <f t="shared" si="4"/>
        <v>2693061</v>
      </c>
    </row>
    <row r="27" spans="1:11" s="4" customFormat="1" ht="15.75" x14ac:dyDescent="0.25">
      <c r="A27" s="82" t="s">
        <v>159</v>
      </c>
      <c r="B27" s="83"/>
      <c r="C27" s="84"/>
      <c r="D27" s="83"/>
      <c r="E27" s="83"/>
      <c r="F27" s="83"/>
      <c r="G27" s="83"/>
      <c r="H27" s="83"/>
      <c r="I27" s="83"/>
      <c r="J27" s="83"/>
      <c r="K27" s="83"/>
    </row>
    <row r="28" spans="1:11" ht="15.75" x14ac:dyDescent="0.25">
      <c r="A28" s="77" t="s">
        <v>160</v>
      </c>
      <c r="B28" s="85">
        <v>2</v>
      </c>
      <c r="C28" s="86">
        <v>145000</v>
      </c>
      <c r="D28" s="79">
        <f>B28*C28</f>
        <v>290000</v>
      </c>
      <c r="E28" s="85">
        <v>10</v>
      </c>
      <c r="F28" s="39">
        <f>+$D28/$E28</f>
        <v>29000</v>
      </c>
      <c r="G28" s="39">
        <f t="shared" ref="G28:J43" si="5">+$D28/$E28</f>
        <v>29000</v>
      </c>
      <c r="H28" s="39">
        <f t="shared" si="5"/>
        <v>29000</v>
      </c>
      <c r="I28" s="39">
        <f t="shared" si="5"/>
        <v>29000</v>
      </c>
      <c r="J28" s="39">
        <f t="shared" si="5"/>
        <v>29000</v>
      </c>
      <c r="K28" s="39">
        <f>+D28-F28-G28-H28-I28-J28</f>
        <v>145000</v>
      </c>
    </row>
    <row r="29" spans="1:11" ht="15.75" x14ac:dyDescent="0.25">
      <c r="A29" s="77" t="s">
        <v>161</v>
      </c>
      <c r="B29" s="85">
        <v>8</v>
      </c>
      <c r="C29" s="86">
        <v>12000</v>
      </c>
      <c r="D29" s="79">
        <f t="shared" ref="D29:D45" si="6">B29*C29</f>
        <v>96000</v>
      </c>
      <c r="E29" s="85">
        <v>10</v>
      </c>
      <c r="F29" s="39">
        <f t="shared" ref="F29:J44" si="7">+$D29/$E29</f>
        <v>9600</v>
      </c>
      <c r="G29" s="39">
        <f t="shared" si="5"/>
        <v>9600</v>
      </c>
      <c r="H29" s="39">
        <f t="shared" si="5"/>
        <v>9600</v>
      </c>
      <c r="I29" s="39">
        <f t="shared" si="5"/>
        <v>9600</v>
      </c>
      <c r="J29" s="39">
        <f t="shared" si="5"/>
        <v>9600</v>
      </c>
      <c r="K29" s="39">
        <f t="shared" ref="K29:K45" si="8">+D29-F29-G29-H29-I29-J29</f>
        <v>48000</v>
      </c>
    </row>
    <row r="30" spans="1:11" ht="15.75" x14ac:dyDescent="0.25">
      <c r="A30" s="77" t="s">
        <v>162</v>
      </c>
      <c r="B30" s="85">
        <v>3</v>
      </c>
      <c r="C30" s="86">
        <v>35000</v>
      </c>
      <c r="D30" s="79">
        <f t="shared" si="6"/>
        <v>105000</v>
      </c>
      <c r="E30" s="85">
        <v>10</v>
      </c>
      <c r="F30" s="39">
        <f t="shared" si="7"/>
        <v>10500</v>
      </c>
      <c r="G30" s="39">
        <f t="shared" si="5"/>
        <v>10500</v>
      </c>
      <c r="H30" s="39">
        <f t="shared" si="5"/>
        <v>10500</v>
      </c>
      <c r="I30" s="39">
        <f t="shared" si="5"/>
        <v>10500</v>
      </c>
      <c r="J30" s="39">
        <f t="shared" si="5"/>
        <v>10500</v>
      </c>
      <c r="K30" s="39">
        <f t="shared" si="8"/>
        <v>52500</v>
      </c>
    </row>
    <row r="31" spans="1:11" ht="15.75" x14ac:dyDescent="0.25">
      <c r="A31" s="77" t="s">
        <v>163</v>
      </c>
      <c r="B31" s="85">
        <v>1</v>
      </c>
      <c r="C31" s="86">
        <v>1500000</v>
      </c>
      <c r="D31" s="79">
        <f t="shared" si="6"/>
        <v>1500000</v>
      </c>
      <c r="E31" s="85">
        <v>5</v>
      </c>
      <c r="F31" s="39">
        <f t="shared" si="7"/>
        <v>300000</v>
      </c>
      <c r="G31" s="39">
        <f t="shared" si="5"/>
        <v>300000</v>
      </c>
      <c r="H31" s="39">
        <f t="shared" si="5"/>
        <v>300000</v>
      </c>
      <c r="I31" s="39">
        <f t="shared" si="5"/>
        <v>300000</v>
      </c>
      <c r="J31" s="39">
        <f t="shared" si="5"/>
        <v>300000</v>
      </c>
      <c r="K31" s="39">
        <f t="shared" si="8"/>
        <v>0</v>
      </c>
    </row>
    <row r="32" spans="1:11" ht="15.75" x14ac:dyDescent="0.25">
      <c r="A32" s="77" t="s">
        <v>164</v>
      </c>
      <c r="B32" s="85">
        <v>1</v>
      </c>
      <c r="C32" s="86">
        <v>350000</v>
      </c>
      <c r="D32" s="79">
        <f t="shared" si="6"/>
        <v>350000</v>
      </c>
      <c r="E32" s="85">
        <v>5</v>
      </c>
      <c r="F32" s="39">
        <f t="shared" si="7"/>
        <v>70000</v>
      </c>
      <c r="G32" s="39">
        <f t="shared" si="5"/>
        <v>70000</v>
      </c>
      <c r="H32" s="39">
        <f t="shared" si="5"/>
        <v>70000</v>
      </c>
      <c r="I32" s="39">
        <f t="shared" si="5"/>
        <v>70000</v>
      </c>
      <c r="J32" s="39">
        <f t="shared" si="5"/>
        <v>70000</v>
      </c>
      <c r="K32" s="39">
        <f t="shared" si="8"/>
        <v>0</v>
      </c>
    </row>
    <row r="33" spans="1:11" ht="15.75" x14ac:dyDescent="0.25">
      <c r="A33" s="77" t="s">
        <v>165</v>
      </c>
      <c r="B33" s="85">
        <v>1</v>
      </c>
      <c r="C33" s="86">
        <v>700000</v>
      </c>
      <c r="D33" s="79">
        <f t="shared" si="6"/>
        <v>700000</v>
      </c>
      <c r="E33" s="85">
        <v>5</v>
      </c>
      <c r="F33" s="39">
        <f t="shared" si="7"/>
        <v>140000</v>
      </c>
      <c r="G33" s="39">
        <f t="shared" si="5"/>
        <v>140000</v>
      </c>
      <c r="H33" s="39">
        <f t="shared" si="5"/>
        <v>140000</v>
      </c>
      <c r="I33" s="39">
        <f t="shared" si="5"/>
        <v>140000</v>
      </c>
      <c r="J33" s="39">
        <f t="shared" si="5"/>
        <v>140000</v>
      </c>
      <c r="K33" s="39">
        <f t="shared" si="8"/>
        <v>0</v>
      </c>
    </row>
    <row r="34" spans="1:11" ht="15.75" x14ac:dyDescent="0.25">
      <c r="A34" s="77" t="s">
        <v>166</v>
      </c>
      <c r="B34" s="85">
        <v>1</v>
      </c>
      <c r="C34" s="86">
        <v>35000</v>
      </c>
      <c r="D34" s="79">
        <f t="shared" si="6"/>
        <v>35000</v>
      </c>
      <c r="E34" s="85">
        <v>5</v>
      </c>
      <c r="F34" s="39">
        <f t="shared" si="7"/>
        <v>7000</v>
      </c>
      <c r="G34" s="39">
        <f t="shared" si="5"/>
        <v>7000</v>
      </c>
      <c r="H34" s="39">
        <f t="shared" si="5"/>
        <v>7000</v>
      </c>
      <c r="I34" s="39">
        <f t="shared" si="5"/>
        <v>7000</v>
      </c>
      <c r="J34" s="39">
        <f t="shared" si="5"/>
        <v>7000</v>
      </c>
      <c r="K34" s="39">
        <f t="shared" si="8"/>
        <v>0</v>
      </c>
    </row>
    <row r="35" spans="1:11" ht="15.75" x14ac:dyDescent="0.25">
      <c r="A35" s="77" t="s">
        <v>167</v>
      </c>
      <c r="B35" s="85">
        <v>1</v>
      </c>
      <c r="C35" s="86">
        <v>1100000</v>
      </c>
      <c r="D35" s="79">
        <f t="shared" si="6"/>
        <v>1100000</v>
      </c>
      <c r="E35" s="85">
        <v>5</v>
      </c>
      <c r="F35" s="39">
        <f t="shared" si="7"/>
        <v>220000</v>
      </c>
      <c r="G35" s="39">
        <f t="shared" si="5"/>
        <v>220000</v>
      </c>
      <c r="H35" s="39">
        <f t="shared" si="5"/>
        <v>220000</v>
      </c>
      <c r="I35" s="39">
        <f t="shared" si="5"/>
        <v>220000</v>
      </c>
      <c r="J35" s="39">
        <f t="shared" si="5"/>
        <v>220000</v>
      </c>
      <c r="K35" s="39">
        <f t="shared" si="8"/>
        <v>0</v>
      </c>
    </row>
    <row r="36" spans="1:11" ht="15.75" x14ac:dyDescent="0.25">
      <c r="A36" s="77" t="s">
        <v>168</v>
      </c>
      <c r="B36" s="85">
        <v>1</v>
      </c>
      <c r="C36" s="86">
        <v>60000</v>
      </c>
      <c r="D36" s="79">
        <f t="shared" si="6"/>
        <v>60000</v>
      </c>
      <c r="E36" s="85">
        <v>5</v>
      </c>
      <c r="F36" s="39">
        <f t="shared" si="7"/>
        <v>12000</v>
      </c>
      <c r="G36" s="39">
        <f t="shared" si="5"/>
        <v>12000</v>
      </c>
      <c r="H36" s="39">
        <f t="shared" si="5"/>
        <v>12000</v>
      </c>
      <c r="I36" s="39">
        <f t="shared" si="5"/>
        <v>12000</v>
      </c>
      <c r="J36" s="39">
        <f t="shared" si="5"/>
        <v>12000</v>
      </c>
      <c r="K36" s="39">
        <f t="shared" si="8"/>
        <v>0</v>
      </c>
    </row>
    <row r="37" spans="1:11" ht="15.75" x14ac:dyDescent="0.25">
      <c r="A37" s="77" t="s">
        <v>169</v>
      </c>
      <c r="B37" s="85">
        <v>1</v>
      </c>
      <c r="C37" s="86">
        <v>395000</v>
      </c>
      <c r="D37" s="79">
        <f t="shared" si="6"/>
        <v>395000</v>
      </c>
      <c r="E37" s="85">
        <v>10</v>
      </c>
      <c r="F37" s="39">
        <f t="shared" si="7"/>
        <v>39500</v>
      </c>
      <c r="G37" s="39">
        <f t="shared" si="5"/>
        <v>39500</v>
      </c>
      <c r="H37" s="39">
        <f t="shared" si="5"/>
        <v>39500</v>
      </c>
      <c r="I37" s="39">
        <f t="shared" si="5"/>
        <v>39500</v>
      </c>
      <c r="J37" s="39">
        <f t="shared" si="5"/>
        <v>39500</v>
      </c>
      <c r="K37" s="39">
        <f t="shared" si="8"/>
        <v>197500</v>
      </c>
    </row>
    <row r="38" spans="1:11" ht="15.75" x14ac:dyDescent="0.25">
      <c r="A38" s="77" t="s">
        <v>170</v>
      </c>
      <c r="B38" s="85">
        <v>1</v>
      </c>
      <c r="C38" s="86">
        <v>26000</v>
      </c>
      <c r="D38" s="79">
        <f t="shared" si="6"/>
        <v>26000</v>
      </c>
      <c r="E38" s="85">
        <v>5</v>
      </c>
      <c r="F38" s="39">
        <f t="shared" si="7"/>
        <v>5200</v>
      </c>
      <c r="G38" s="39">
        <f t="shared" si="5"/>
        <v>5200</v>
      </c>
      <c r="H38" s="39">
        <f t="shared" si="5"/>
        <v>5200</v>
      </c>
      <c r="I38" s="39">
        <f t="shared" si="5"/>
        <v>5200</v>
      </c>
      <c r="J38" s="39">
        <f t="shared" si="5"/>
        <v>5200</v>
      </c>
      <c r="K38" s="39">
        <f t="shared" si="8"/>
        <v>0</v>
      </c>
    </row>
    <row r="39" spans="1:11" ht="15.75" x14ac:dyDescent="0.25">
      <c r="A39" s="77" t="s">
        <v>171</v>
      </c>
      <c r="B39" s="85">
        <v>1</v>
      </c>
      <c r="C39" s="86">
        <v>25500</v>
      </c>
      <c r="D39" s="79">
        <f t="shared" si="6"/>
        <v>25500</v>
      </c>
      <c r="E39" s="85">
        <v>5</v>
      </c>
      <c r="F39" s="39">
        <f t="shared" si="7"/>
        <v>5100</v>
      </c>
      <c r="G39" s="39">
        <f t="shared" si="5"/>
        <v>5100</v>
      </c>
      <c r="H39" s="39">
        <f t="shared" si="5"/>
        <v>5100</v>
      </c>
      <c r="I39" s="39">
        <f t="shared" si="5"/>
        <v>5100</v>
      </c>
      <c r="J39" s="39">
        <f t="shared" si="5"/>
        <v>5100</v>
      </c>
      <c r="K39" s="39">
        <f t="shared" si="8"/>
        <v>0</v>
      </c>
    </row>
    <row r="40" spans="1:11" ht="15.75" x14ac:dyDescent="0.25">
      <c r="A40" s="77" t="s">
        <v>172</v>
      </c>
      <c r="B40" s="85">
        <v>1</v>
      </c>
      <c r="C40" s="86">
        <v>197000</v>
      </c>
      <c r="D40" s="79">
        <f t="shared" si="6"/>
        <v>197000</v>
      </c>
      <c r="E40" s="85">
        <v>10</v>
      </c>
      <c r="F40" s="39">
        <f t="shared" si="7"/>
        <v>19700</v>
      </c>
      <c r="G40" s="39">
        <f t="shared" si="5"/>
        <v>19700</v>
      </c>
      <c r="H40" s="39">
        <f t="shared" si="5"/>
        <v>19700</v>
      </c>
      <c r="I40" s="39">
        <f t="shared" si="5"/>
        <v>19700</v>
      </c>
      <c r="J40" s="39">
        <f t="shared" si="5"/>
        <v>19700</v>
      </c>
      <c r="K40" s="39">
        <f t="shared" si="8"/>
        <v>98500</v>
      </c>
    </row>
    <row r="41" spans="1:11" ht="15.75" x14ac:dyDescent="0.25">
      <c r="A41" s="77" t="s">
        <v>173</v>
      </c>
      <c r="B41" s="85">
        <v>1</v>
      </c>
      <c r="C41" s="86">
        <v>90000</v>
      </c>
      <c r="D41" s="79">
        <f t="shared" si="6"/>
        <v>90000</v>
      </c>
      <c r="E41" s="85">
        <v>10</v>
      </c>
      <c r="F41" s="39">
        <f t="shared" si="7"/>
        <v>9000</v>
      </c>
      <c r="G41" s="39">
        <f t="shared" si="5"/>
        <v>9000</v>
      </c>
      <c r="H41" s="39">
        <f t="shared" si="5"/>
        <v>9000</v>
      </c>
      <c r="I41" s="39">
        <f t="shared" si="5"/>
        <v>9000</v>
      </c>
      <c r="J41" s="39">
        <f t="shared" si="5"/>
        <v>9000</v>
      </c>
      <c r="K41" s="39">
        <f t="shared" si="8"/>
        <v>45000</v>
      </c>
    </row>
    <row r="42" spans="1:11" ht="15.75" x14ac:dyDescent="0.25">
      <c r="A42" s="77" t="s">
        <v>174</v>
      </c>
      <c r="B42" s="85">
        <v>4</v>
      </c>
      <c r="C42" s="86">
        <v>12000</v>
      </c>
      <c r="D42" s="79">
        <f t="shared" si="6"/>
        <v>48000</v>
      </c>
      <c r="E42" s="85">
        <v>5</v>
      </c>
      <c r="F42" s="39">
        <f t="shared" si="7"/>
        <v>9600</v>
      </c>
      <c r="G42" s="39">
        <f t="shared" si="5"/>
        <v>9600</v>
      </c>
      <c r="H42" s="39">
        <f t="shared" si="5"/>
        <v>9600</v>
      </c>
      <c r="I42" s="39">
        <f t="shared" si="5"/>
        <v>9600</v>
      </c>
      <c r="J42" s="39">
        <f t="shared" si="5"/>
        <v>9600</v>
      </c>
      <c r="K42" s="39">
        <f t="shared" si="8"/>
        <v>0</v>
      </c>
    </row>
    <row r="43" spans="1:11" ht="15.75" x14ac:dyDescent="0.25">
      <c r="A43" s="151" t="s">
        <v>266</v>
      </c>
      <c r="B43" s="152">
        <v>2</v>
      </c>
      <c r="C43" s="86">
        <v>15000</v>
      </c>
      <c r="D43" s="79">
        <f t="shared" si="6"/>
        <v>30000</v>
      </c>
      <c r="E43" s="152">
        <v>5</v>
      </c>
      <c r="F43" s="39">
        <f t="shared" si="7"/>
        <v>6000</v>
      </c>
      <c r="G43" s="39">
        <f t="shared" si="5"/>
        <v>6000</v>
      </c>
      <c r="H43" s="39">
        <f t="shared" si="5"/>
        <v>6000</v>
      </c>
      <c r="I43" s="39">
        <f t="shared" si="5"/>
        <v>6000</v>
      </c>
      <c r="J43" s="39">
        <f t="shared" si="5"/>
        <v>6000</v>
      </c>
      <c r="K43" s="39">
        <f t="shared" si="8"/>
        <v>0</v>
      </c>
    </row>
    <row r="44" spans="1:11" ht="15.75" x14ac:dyDescent="0.25">
      <c r="A44" s="151" t="s">
        <v>267</v>
      </c>
      <c r="B44" s="152">
        <v>2</v>
      </c>
      <c r="C44" s="86">
        <v>3000</v>
      </c>
      <c r="D44" s="79">
        <f t="shared" si="6"/>
        <v>6000</v>
      </c>
      <c r="E44" s="152">
        <v>5</v>
      </c>
      <c r="F44" s="39">
        <f t="shared" si="7"/>
        <v>1200</v>
      </c>
      <c r="G44" s="39">
        <f t="shared" si="7"/>
        <v>1200</v>
      </c>
      <c r="H44" s="39">
        <f t="shared" si="7"/>
        <v>1200</v>
      </c>
      <c r="I44" s="39">
        <f t="shared" si="7"/>
        <v>1200</v>
      </c>
      <c r="J44" s="39">
        <f t="shared" si="7"/>
        <v>1200</v>
      </c>
      <c r="K44" s="39">
        <f t="shared" si="8"/>
        <v>0</v>
      </c>
    </row>
    <row r="45" spans="1:11" ht="16.5" thickBot="1" x14ac:dyDescent="0.3">
      <c r="A45" s="153" t="s">
        <v>268</v>
      </c>
      <c r="B45" s="154">
        <v>1</v>
      </c>
      <c r="C45" s="86">
        <v>50000</v>
      </c>
      <c r="D45" s="79">
        <f t="shared" si="6"/>
        <v>50000</v>
      </c>
      <c r="E45" s="154">
        <v>10</v>
      </c>
      <c r="F45" s="39">
        <f t="shared" ref="F45:J45" si="9">+$D45/$E45</f>
        <v>5000</v>
      </c>
      <c r="G45" s="39">
        <f t="shared" si="9"/>
        <v>5000</v>
      </c>
      <c r="H45" s="39">
        <f t="shared" si="9"/>
        <v>5000</v>
      </c>
      <c r="I45" s="39">
        <f t="shared" si="9"/>
        <v>5000</v>
      </c>
      <c r="J45" s="39">
        <f t="shared" si="9"/>
        <v>5000</v>
      </c>
      <c r="K45" s="39">
        <f t="shared" si="8"/>
        <v>25000</v>
      </c>
    </row>
    <row r="46" spans="1:11" s="4" customFormat="1" ht="15.75" x14ac:dyDescent="0.25">
      <c r="A46" s="80" t="s">
        <v>175</v>
      </c>
      <c r="B46" s="81">
        <f>SUM(B28:B42)</f>
        <v>28</v>
      </c>
      <c r="C46" s="81">
        <f>SUM(C28:C45)</f>
        <v>4750500</v>
      </c>
      <c r="D46" s="81">
        <f>SUM(D28:D45)</f>
        <v>5103500</v>
      </c>
      <c r="E46" s="81"/>
      <c r="F46" s="81">
        <f>SUM(F28:F45)</f>
        <v>898400</v>
      </c>
      <c r="G46" s="81">
        <f t="shared" ref="G46:K46" si="10">SUM(G28:G45)</f>
        <v>898400</v>
      </c>
      <c r="H46" s="81">
        <f t="shared" si="10"/>
        <v>898400</v>
      </c>
      <c r="I46" s="81">
        <f t="shared" si="10"/>
        <v>898400</v>
      </c>
      <c r="J46" s="81">
        <f t="shared" si="10"/>
        <v>898400</v>
      </c>
      <c r="K46" s="81">
        <f t="shared" si="10"/>
        <v>611500</v>
      </c>
    </row>
    <row r="47" spans="1:11" s="4" customFormat="1" ht="15.75" x14ac:dyDescent="0.25">
      <c r="A47" s="80" t="s">
        <v>176</v>
      </c>
      <c r="B47" s="81"/>
      <c r="C47" s="81">
        <f>+C26+C46</f>
        <v>9995394</v>
      </c>
      <c r="D47" s="81">
        <f t="shared" ref="D47:K47" si="11">+D26+D46</f>
        <v>10876622</v>
      </c>
      <c r="E47" s="81"/>
      <c r="F47" s="81">
        <f t="shared" si="11"/>
        <v>1514412.2</v>
      </c>
      <c r="G47" s="81">
        <f t="shared" si="11"/>
        <v>1514412.2</v>
      </c>
      <c r="H47" s="81">
        <f t="shared" si="11"/>
        <v>1514412.2</v>
      </c>
      <c r="I47" s="81">
        <f t="shared" si="11"/>
        <v>1514412.2</v>
      </c>
      <c r="J47" s="81">
        <f t="shared" si="11"/>
        <v>1514412.2</v>
      </c>
      <c r="K47" s="81">
        <f t="shared" si="11"/>
        <v>3304561</v>
      </c>
    </row>
    <row r="50" spans="1:2" ht="21.75" thickBot="1" x14ac:dyDescent="0.4">
      <c r="A50" s="287" t="s">
        <v>307</v>
      </c>
      <c r="B50" s="287"/>
    </row>
    <row r="51" spans="1:2" ht="15.75" x14ac:dyDescent="0.25">
      <c r="A51" s="288" t="s">
        <v>178</v>
      </c>
      <c r="B51" s="200" t="s">
        <v>308</v>
      </c>
    </row>
    <row r="52" spans="1:2" ht="16.5" thickBot="1" x14ac:dyDescent="0.3">
      <c r="A52" s="289"/>
      <c r="B52" s="201" t="s">
        <v>309</v>
      </c>
    </row>
    <row r="53" spans="1:2" ht="16.5" thickBot="1" x14ac:dyDescent="0.3">
      <c r="A53" s="202" t="s">
        <v>310</v>
      </c>
      <c r="B53" s="203"/>
    </row>
    <row r="54" spans="1:2" ht="15.75" x14ac:dyDescent="0.25">
      <c r="A54" s="204" t="s">
        <v>311</v>
      </c>
      <c r="B54" s="205">
        <v>2500000</v>
      </c>
    </row>
    <row r="55" spans="1:2" ht="15.75" x14ac:dyDescent="0.25">
      <c r="A55" s="204" t="s">
        <v>312</v>
      </c>
      <c r="B55" s="205">
        <v>200000</v>
      </c>
    </row>
    <row r="56" spans="1:2" ht="15.75" x14ac:dyDescent="0.25">
      <c r="A56" s="204" t="s">
        <v>313</v>
      </c>
      <c r="B56" s="205">
        <v>500000</v>
      </c>
    </row>
    <row r="57" spans="1:2" ht="15.75" x14ac:dyDescent="0.25">
      <c r="A57" s="204" t="s">
        <v>314</v>
      </c>
      <c r="B57" s="205">
        <v>300000</v>
      </c>
    </row>
    <row r="58" spans="1:2" ht="16.5" thickBot="1" x14ac:dyDescent="0.3">
      <c r="A58" s="203" t="s">
        <v>315</v>
      </c>
      <c r="B58" s="206">
        <v>300000</v>
      </c>
    </row>
    <row r="59" spans="1:2" ht="15.75" x14ac:dyDescent="0.25">
      <c r="A59" s="207" t="s">
        <v>316</v>
      </c>
      <c r="B59" s="208">
        <f>SUM(B54:B58)</f>
        <v>3800000</v>
      </c>
    </row>
    <row r="60" spans="1:2" ht="16.5" thickBot="1" x14ac:dyDescent="0.3">
      <c r="A60" s="202" t="s">
        <v>317</v>
      </c>
      <c r="B60" s="206"/>
    </row>
    <row r="61" spans="1:2" ht="15.75" x14ac:dyDescent="0.25">
      <c r="A61" s="204" t="s">
        <v>318</v>
      </c>
      <c r="B61" s="205">
        <v>60000</v>
      </c>
    </row>
    <row r="62" spans="1:2" ht="15.75" x14ac:dyDescent="0.25">
      <c r="A62" s="204" t="s">
        <v>319</v>
      </c>
      <c r="B62" s="205">
        <v>2600000</v>
      </c>
    </row>
    <row r="63" spans="1:2" ht="15.75" x14ac:dyDescent="0.25">
      <c r="A63" s="204" t="s">
        <v>320</v>
      </c>
      <c r="B63" s="205">
        <v>20000</v>
      </c>
    </row>
    <row r="64" spans="1:2" ht="15.75" x14ac:dyDescent="0.25">
      <c r="A64" s="204" t="s">
        <v>321</v>
      </c>
      <c r="B64" s="205">
        <v>700000</v>
      </c>
    </row>
    <row r="65" spans="1:11" ht="15.75" x14ac:dyDescent="0.25">
      <c r="A65" s="204" t="s">
        <v>322</v>
      </c>
      <c r="B65" s="205">
        <v>80000</v>
      </c>
    </row>
    <row r="66" spans="1:11" ht="16.5" thickBot="1" x14ac:dyDescent="0.3">
      <c r="A66" s="203" t="s">
        <v>323</v>
      </c>
      <c r="B66" s="206">
        <v>200000</v>
      </c>
      <c r="D66" s="290" t="s">
        <v>324</v>
      </c>
      <c r="E66" s="290"/>
      <c r="F66" s="290"/>
      <c r="G66" s="290"/>
      <c r="H66" s="290"/>
      <c r="I66" s="290"/>
      <c r="J66" s="290"/>
      <c r="K66" s="290"/>
    </row>
    <row r="67" spans="1:11" ht="30.75" thickBot="1" x14ac:dyDescent="0.3">
      <c r="A67" s="202" t="s">
        <v>325</v>
      </c>
      <c r="B67" s="209">
        <f>SUM(B61:B66)</f>
        <v>3660000</v>
      </c>
      <c r="D67" s="267" t="s">
        <v>326</v>
      </c>
      <c r="E67" s="267"/>
      <c r="F67" s="210" t="s">
        <v>273</v>
      </c>
      <c r="G67" s="172" t="s">
        <v>2</v>
      </c>
      <c r="H67" s="172" t="s">
        <v>3</v>
      </c>
      <c r="I67" s="172" t="s">
        <v>4</v>
      </c>
      <c r="J67" s="172" t="s">
        <v>5</v>
      </c>
      <c r="K67" s="172" t="s">
        <v>6</v>
      </c>
    </row>
    <row r="68" spans="1:11" ht="16.5" thickBot="1" x14ac:dyDescent="0.3">
      <c r="A68" s="202" t="s">
        <v>327</v>
      </c>
      <c r="B68" s="206"/>
      <c r="D68" s="270" t="s">
        <v>328</v>
      </c>
      <c r="E68" s="270"/>
      <c r="F68" s="3">
        <v>0.4</v>
      </c>
      <c r="G68" s="39">
        <f>G$71*$F68</f>
        <v>753792</v>
      </c>
      <c r="H68" s="39">
        <f t="shared" ref="H68:K70" si="12">H$71*$F68</f>
        <v>753792</v>
      </c>
      <c r="I68" s="39">
        <f t="shared" si="12"/>
        <v>753792</v>
      </c>
      <c r="J68" s="39">
        <f t="shared" si="12"/>
        <v>753792</v>
      </c>
      <c r="K68" s="39">
        <f t="shared" si="12"/>
        <v>753792</v>
      </c>
    </row>
    <row r="69" spans="1:11" ht="15.75" x14ac:dyDescent="0.25">
      <c r="A69" s="204" t="s">
        <v>329</v>
      </c>
      <c r="B69" s="205">
        <v>115000</v>
      </c>
      <c r="D69" s="270" t="s">
        <v>330</v>
      </c>
      <c r="E69" s="270"/>
      <c r="F69" s="3">
        <v>0.3</v>
      </c>
      <c r="G69" s="39">
        <f t="shared" ref="G69:G70" si="13">G$71*$F69</f>
        <v>565344</v>
      </c>
      <c r="H69" s="39">
        <f t="shared" si="12"/>
        <v>565344</v>
      </c>
      <c r="I69" s="39">
        <f t="shared" si="12"/>
        <v>565344</v>
      </c>
      <c r="J69" s="39">
        <f t="shared" si="12"/>
        <v>565344</v>
      </c>
      <c r="K69" s="39">
        <f t="shared" si="12"/>
        <v>565344</v>
      </c>
    </row>
    <row r="70" spans="1:11" ht="15.75" x14ac:dyDescent="0.25">
      <c r="A70" s="204" t="s">
        <v>331</v>
      </c>
      <c r="B70" s="205">
        <v>110000</v>
      </c>
      <c r="D70" s="270" t="s">
        <v>332</v>
      </c>
      <c r="E70" s="270"/>
      <c r="F70" s="3">
        <v>0.3</v>
      </c>
      <c r="G70" s="39">
        <f t="shared" si="13"/>
        <v>565344</v>
      </c>
      <c r="H70" s="39">
        <f t="shared" si="12"/>
        <v>565344</v>
      </c>
      <c r="I70" s="39">
        <f t="shared" si="12"/>
        <v>565344</v>
      </c>
      <c r="J70" s="39">
        <f t="shared" si="12"/>
        <v>565344</v>
      </c>
      <c r="K70" s="39">
        <f t="shared" si="12"/>
        <v>565344</v>
      </c>
    </row>
    <row r="71" spans="1:11" ht="15.75" x14ac:dyDescent="0.25">
      <c r="A71" s="204" t="s">
        <v>333</v>
      </c>
      <c r="B71" s="205">
        <v>17400</v>
      </c>
      <c r="D71" s="286" t="s">
        <v>105</v>
      </c>
      <c r="E71" s="286"/>
      <c r="F71" s="211">
        <f>SUM(F68:F70)</f>
        <v>1</v>
      </c>
      <c r="G71" s="212">
        <f>$B$77</f>
        <v>1884480</v>
      </c>
      <c r="H71" s="212">
        <f t="shared" ref="H71:K71" si="14">$B$77</f>
        <v>1884480</v>
      </c>
      <c r="I71" s="212">
        <f t="shared" si="14"/>
        <v>1884480</v>
      </c>
      <c r="J71" s="212">
        <f t="shared" si="14"/>
        <v>1884480</v>
      </c>
      <c r="K71" s="212">
        <f t="shared" si="14"/>
        <v>1884480</v>
      </c>
    </row>
    <row r="72" spans="1:11" ht="15.75" x14ac:dyDescent="0.25">
      <c r="A72" s="204" t="s">
        <v>334</v>
      </c>
      <c r="B72" s="205">
        <v>1600000</v>
      </c>
    </row>
    <row r="73" spans="1:11" ht="16.5" thickBot="1" x14ac:dyDescent="0.3">
      <c r="A73" s="203" t="s">
        <v>335</v>
      </c>
      <c r="B73" s="206">
        <v>120000</v>
      </c>
    </row>
    <row r="74" spans="1:11" ht="16.5" thickBot="1" x14ac:dyDescent="0.3">
      <c r="A74" s="202" t="s">
        <v>336</v>
      </c>
      <c r="B74" s="209">
        <f>SUM(B69:B73)</f>
        <v>1962400</v>
      </c>
    </row>
    <row r="75" spans="1:11" ht="16.5" thickBot="1" x14ac:dyDescent="0.3">
      <c r="A75" s="202" t="s">
        <v>337</v>
      </c>
      <c r="B75" s="209">
        <f>B74+B67+B59</f>
        <v>9422400</v>
      </c>
    </row>
    <row r="76" spans="1:11" ht="16.5" thickBot="1" x14ac:dyDescent="0.3">
      <c r="A76" s="202" t="s">
        <v>338</v>
      </c>
      <c r="B76" s="202">
        <v>5</v>
      </c>
      <c r="C76" s="214" t="s">
        <v>35</v>
      </c>
    </row>
    <row r="77" spans="1:11" ht="16.5" thickBot="1" x14ac:dyDescent="0.3">
      <c r="A77" s="202" t="s">
        <v>339</v>
      </c>
      <c r="B77" s="213">
        <f>B75/B76</f>
        <v>1884480</v>
      </c>
    </row>
  </sheetData>
  <mergeCells count="9">
    <mergeCell ref="D68:E68"/>
    <mergeCell ref="D69:E69"/>
    <mergeCell ref="D70:E70"/>
    <mergeCell ref="D71:E71"/>
    <mergeCell ref="A1:K1"/>
    <mergeCell ref="A50:B50"/>
    <mergeCell ref="A51:A52"/>
    <mergeCell ref="D66:K66"/>
    <mergeCell ref="D67:E67"/>
  </mergeCells>
  <pageMargins left="0.7" right="0.7" top="0.75" bottom="0.75" header="0.3" footer="0.3"/>
  <pageSetup paperSize="9" orientation="portrait" horizontalDpi="200" verticalDpi="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2"/>
  <sheetViews>
    <sheetView topLeftCell="C43" workbookViewId="0">
      <selection activeCell="L50" sqref="L50"/>
    </sheetView>
  </sheetViews>
  <sheetFormatPr baseColWidth="10" defaultRowHeight="15" x14ac:dyDescent="0.25"/>
  <cols>
    <col min="1" max="1" width="60.7109375" customWidth="1"/>
    <col min="2" max="2" width="14" bestFit="1" customWidth="1"/>
    <col min="3" max="3" width="16.85546875" bestFit="1" customWidth="1"/>
    <col min="4" max="6" width="14" bestFit="1" customWidth="1"/>
    <col min="7" max="7" width="15.7109375" customWidth="1"/>
    <col min="10" max="10" width="15.28515625" customWidth="1"/>
    <col min="13" max="13" width="15.42578125" customWidth="1"/>
    <col min="16" max="16" width="15.7109375" customWidth="1"/>
  </cols>
  <sheetData>
    <row r="1" spans="1:6" ht="15.75" x14ac:dyDescent="0.25">
      <c r="A1" s="300" t="s">
        <v>177</v>
      </c>
      <c r="B1" s="300"/>
      <c r="C1" s="300"/>
      <c r="D1" s="300"/>
      <c r="E1" s="300"/>
      <c r="F1" s="300"/>
    </row>
    <row r="2" spans="1:6" ht="15.75" x14ac:dyDescent="0.25">
      <c r="A2" s="51" t="s">
        <v>178</v>
      </c>
      <c r="B2" s="51" t="s">
        <v>2</v>
      </c>
      <c r="C2" s="51" t="s">
        <v>3</v>
      </c>
      <c r="D2" s="51" t="s">
        <v>4</v>
      </c>
      <c r="E2" s="51" t="s">
        <v>5</v>
      </c>
      <c r="F2" s="51" t="s">
        <v>6</v>
      </c>
    </row>
    <row r="3" spans="1:6" ht="15.75" x14ac:dyDescent="0.25">
      <c r="A3" s="111" t="s">
        <v>179</v>
      </c>
      <c r="B3" s="111"/>
      <c r="C3" s="112">
        <f>+'BASES DE CALCULO'!C5</f>
        <v>0.1245</v>
      </c>
      <c r="D3" s="112">
        <f>+'BASES DE CALCULO'!D5</f>
        <v>0.1084</v>
      </c>
      <c r="E3" s="112">
        <f>+'BASES DE CALCULO'!E5</f>
        <v>7.6100000000000001E-2</v>
      </c>
      <c r="F3" s="112">
        <f>+'BASES DE CALCULO'!F5</f>
        <v>0.06</v>
      </c>
    </row>
    <row r="4" spans="1:6" ht="15.75" x14ac:dyDescent="0.25">
      <c r="A4" s="107" t="s">
        <v>180</v>
      </c>
      <c r="B4" s="109"/>
      <c r="C4" s="109"/>
      <c r="D4" s="110"/>
      <c r="E4" s="109"/>
      <c r="F4" s="109"/>
    </row>
    <row r="5" spans="1:6" ht="15.75" x14ac:dyDescent="0.25">
      <c r="A5" s="49" t="s">
        <v>181</v>
      </c>
      <c r="B5" s="101">
        <f>+'COSTOS DE PRODUCCION'!F41</f>
        <v>69799593.035999998</v>
      </c>
      <c r="C5" s="101">
        <f>+'COSTOS DE PRODUCCION'!I41</f>
        <v>86373494.458000004</v>
      </c>
      <c r="D5" s="101">
        <f>+'COSTOS DE PRODUCCION'!L41</f>
        <v>104769911.89322001</v>
      </c>
      <c r="E5" s="101">
        <f>+'COSTOS DE PRODUCCION'!O41</f>
        <v>122669246.04499999</v>
      </c>
      <c r="F5" s="101">
        <f>+'COSTOS DE PRODUCCION'!R41</f>
        <v>141134574.52400002</v>
      </c>
    </row>
    <row r="6" spans="1:6" ht="15.75" x14ac:dyDescent="0.25">
      <c r="A6" s="49" t="s">
        <v>182</v>
      </c>
      <c r="B6" s="101">
        <f>+'MANO DE OBRA'!$N$6</f>
        <v>10048572.362879999</v>
      </c>
      <c r="C6" s="101">
        <f>+B6*(1+(C3-0.02))</f>
        <v>11098648.174800958</v>
      </c>
      <c r="D6" s="101">
        <f t="shared" ref="D6:F6" si="0">+C6*(1+(D3-0.02))</f>
        <v>12079768.673453365</v>
      </c>
      <c r="E6" s="101">
        <f t="shared" si="0"/>
        <v>12757443.696034098</v>
      </c>
      <c r="F6" s="101">
        <f t="shared" si="0"/>
        <v>13267741.443875462</v>
      </c>
    </row>
    <row r="7" spans="1:6" ht="15.75" x14ac:dyDescent="0.25">
      <c r="A7" s="49" t="s">
        <v>183</v>
      </c>
      <c r="B7" s="101">
        <f>+'MANO DE OBRA'!$E$14</f>
        <v>395000</v>
      </c>
      <c r="C7" s="101">
        <f>+B7*(1+C3)</f>
        <v>444177.5</v>
      </c>
      <c r="D7" s="101">
        <f t="shared" ref="D7:F7" si="1">+C7*(1+D3)</f>
        <v>492326.34100000001</v>
      </c>
      <c r="E7" s="101">
        <f t="shared" si="1"/>
        <v>529792.3755501</v>
      </c>
      <c r="F7" s="101">
        <f t="shared" si="1"/>
        <v>561579.91808310605</v>
      </c>
    </row>
    <row r="8" spans="1:6" ht="15.75" x14ac:dyDescent="0.25">
      <c r="A8" s="108" t="s">
        <v>184</v>
      </c>
      <c r="B8" s="98">
        <f>SUM(B5:B7)</f>
        <v>80243165.398880005</v>
      </c>
      <c r="C8" s="98">
        <f t="shared" ref="C8:F8" si="2">SUM(C5:C7)</f>
        <v>97916320.132800967</v>
      </c>
      <c r="D8" s="98">
        <f t="shared" si="2"/>
        <v>117342006.90767337</v>
      </c>
      <c r="E8" s="98">
        <f t="shared" si="2"/>
        <v>135956482.11658418</v>
      </c>
      <c r="F8" s="98">
        <f t="shared" si="2"/>
        <v>154963895.88595858</v>
      </c>
    </row>
    <row r="9" spans="1:6" ht="15.75" x14ac:dyDescent="0.25">
      <c r="A9" s="49" t="s">
        <v>185</v>
      </c>
      <c r="B9" s="49"/>
      <c r="C9" s="49"/>
      <c r="D9" s="49"/>
      <c r="E9" s="49"/>
      <c r="F9" s="49"/>
    </row>
    <row r="10" spans="1:6" ht="15.75" x14ac:dyDescent="0.25">
      <c r="A10" s="49" t="s">
        <v>186</v>
      </c>
      <c r="B10" s="100">
        <f>+ACTIVOS!F26</f>
        <v>616012.19999999995</v>
      </c>
      <c r="C10" s="100">
        <f>+ACTIVOS!G26</f>
        <v>616012.19999999995</v>
      </c>
      <c r="D10" s="100">
        <f>+ACTIVOS!H26</f>
        <v>616012.19999999995</v>
      </c>
      <c r="E10" s="100">
        <f>+ACTIVOS!I26</f>
        <v>616012.19999999995</v>
      </c>
      <c r="F10" s="100">
        <f>+ACTIVOS!J26</f>
        <v>616012.19999999995</v>
      </c>
    </row>
    <row r="11" spans="1:6" ht="15.75" x14ac:dyDescent="0.25">
      <c r="A11" s="49" t="s">
        <v>187</v>
      </c>
      <c r="B11" s="97">
        <f>(300000*12)*0.8</f>
        <v>2880000</v>
      </c>
      <c r="C11" s="97">
        <f>+B11*(1+C3)</f>
        <v>3238560</v>
      </c>
      <c r="D11" s="97">
        <f t="shared" ref="D11:F11" si="3">+C11*(1+D3)</f>
        <v>3589619.9040000001</v>
      </c>
      <c r="E11" s="97">
        <f t="shared" si="3"/>
        <v>3862789.9786944003</v>
      </c>
      <c r="F11" s="97">
        <f t="shared" si="3"/>
        <v>4094557.3774160645</v>
      </c>
    </row>
    <row r="12" spans="1:6" ht="15.75" x14ac:dyDescent="0.25">
      <c r="A12" s="49" t="s">
        <v>188</v>
      </c>
      <c r="B12" s="102">
        <f>ACTIVOS!D26*2%</f>
        <v>115462.44</v>
      </c>
      <c r="C12" s="102">
        <f>+B12*(1+C3)</f>
        <v>129837.51378000001</v>
      </c>
      <c r="D12" s="102">
        <f t="shared" ref="D12:F12" si="4">+C12*(1+D3)</f>
        <v>143911.90027375202</v>
      </c>
      <c r="E12" s="102">
        <f t="shared" si="4"/>
        <v>154863.59588458456</v>
      </c>
      <c r="F12" s="102">
        <f t="shared" si="4"/>
        <v>164155.41163765965</v>
      </c>
    </row>
    <row r="13" spans="1:6" ht="15.75" x14ac:dyDescent="0.25">
      <c r="A13" s="49" t="s">
        <v>189</v>
      </c>
      <c r="B13" s="96">
        <f>+(350000*12)*0.4</f>
        <v>1680000</v>
      </c>
      <c r="C13" s="96">
        <f>+B13*(1+C3)</f>
        <v>1889160</v>
      </c>
      <c r="D13" s="96">
        <f t="shared" ref="D13:F13" si="5">+C13*(1+D3)</f>
        <v>2093944.9440000001</v>
      </c>
      <c r="E13" s="96">
        <f t="shared" si="5"/>
        <v>2253294.1542384</v>
      </c>
      <c r="F13" s="96">
        <f t="shared" si="5"/>
        <v>2388491.8034927039</v>
      </c>
    </row>
    <row r="14" spans="1:6" ht="15.75" x14ac:dyDescent="0.25">
      <c r="A14" s="49" t="s">
        <v>190</v>
      </c>
      <c r="B14" s="96">
        <f>ACTIVOS!G68</f>
        <v>753792</v>
      </c>
      <c r="C14" s="96">
        <f>ACTIVOS!H68</f>
        <v>753792</v>
      </c>
      <c r="D14" s="96">
        <f>ACTIVOS!I68</f>
        <v>753792</v>
      </c>
      <c r="E14" s="96">
        <f>ACTIVOS!J68</f>
        <v>753792</v>
      </c>
      <c r="F14" s="96">
        <f>ACTIVOS!K68</f>
        <v>753792</v>
      </c>
    </row>
    <row r="15" spans="1:6" ht="15.75" x14ac:dyDescent="0.25">
      <c r="A15" s="51" t="s">
        <v>191</v>
      </c>
      <c r="B15" s="99">
        <f>SUM(B10:B14)</f>
        <v>6045266.6400000006</v>
      </c>
      <c r="C15" s="99">
        <f>SUM(C10:C14)</f>
        <v>6627361.7137800008</v>
      </c>
      <c r="D15" s="99">
        <f>SUM(D10:D14)</f>
        <v>7197280.9482737528</v>
      </c>
      <c r="E15" s="99">
        <f>SUM(E10:E14)</f>
        <v>7640751.9288173849</v>
      </c>
      <c r="F15" s="99">
        <f>SUM(F10:F14)</f>
        <v>8017008.7925464287</v>
      </c>
    </row>
    <row r="16" spans="1:6" ht="15.75" x14ac:dyDescent="0.25">
      <c r="A16" s="105" t="s">
        <v>192</v>
      </c>
      <c r="B16" s="104">
        <f>+B8+B15</f>
        <v>86288432.038880005</v>
      </c>
      <c r="C16" s="104">
        <f>+C8+C15</f>
        <v>104543681.84658097</v>
      </c>
      <c r="D16" s="104">
        <f>+D8+D15</f>
        <v>124539287.85594712</v>
      </c>
      <c r="E16" s="104">
        <f>+E8+E15</f>
        <v>143597234.04540157</v>
      </c>
      <c r="F16" s="104">
        <f>+F8+F15</f>
        <v>162980904.678505</v>
      </c>
    </row>
    <row r="17" spans="1:6" ht="15.75" x14ac:dyDescent="0.25">
      <c r="A17" s="106" t="s">
        <v>193</v>
      </c>
      <c r="B17" s="49"/>
      <c r="C17" s="49"/>
      <c r="D17" s="49"/>
      <c r="E17" s="49"/>
      <c r="F17" s="49"/>
    </row>
    <row r="18" spans="1:6" ht="15.75" x14ac:dyDescent="0.25">
      <c r="A18" s="49" t="s">
        <v>194</v>
      </c>
      <c r="B18" s="61">
        <v>12372217</v>
      </c>
      <c r="C18" s="61">
        <v>13665114</v>
      </c>
      <c r="D18" s="61">
        <v>14873110</v>
      </c>
      <c r="E18" s="61">
        <v>15707491</v>
      </c>
      <c r="F18" s="61">
        <v>16335791</v>
      </c>
    </row>
    <row r="19" spans="1:6" ht="15.75" x14ac:dyDescent="0.25">
      <c r="A19" s="49" t="s">
        <v>183</v>
      </c>
      <c r="B19" s="61">
        <v>390500</v>
      </c>
      <c r="C19" s="61">
        <v>439117</v>
      </c>
      <c r="D19" s="61">
        <v>486718</v>
      </c>
      <c r="E19" s="61">
        <v>523757</v>
      </c>
      <c r="F19" s="61">
        <v>555182</v>
      </c>
    </row>
    <row r="20" spans="1:6" ht="15.75" x14ac:dyDescent="0.25">
      <c r="A20" s="49" t="s">
        <v>195</v>
      </c>
      <c r="B20" s="61">
        <v>5400000</v>
      </c>
      <c r="C20" s="61">
        <v>6072300</v>
      </c>
      <c r="D20" s="61">
        <v>6730537</v>
      </c>
      <c r="E20" s="61">
        <v>7242731</v>
      </c>
      <c r="F20" s="61">
        <v>7677295</v>
      </c>
    </row>
    <row r="21" spans="1:6" ht="15.75" x14ac:dyDescent="0.25">
      <c r="A21" s="49" t="s">
        <v>196</v>
      </c>
      <c r="B21" s="96">
        <f>+(350000*12)*0.3</f>
        <v>1260000</v>
      </c>
      <c r="C21" s="96">
        <f>+B21*(1+C3)</f>
        <v>1416870</v>
      </c>
      <c r="D21" s="96">
        <f>+C21*(1+D3)</f>
        <v>1570458.7080000001</v>
      </c>
      <c r="E21" s="96">
        <f>+D21*(1+E3)</f>
        <v>1689970.6156788003</v>
      </c>
      <c r="F21" s="96">
        <f>+E21*(1+F3)</f>
        <v>1791368.8526195283</v>
      </c>
    </row>
    <row r="22" spans="1:6" ht="15.75" x14ac:dyDescent="0.25">
      <c r="A22" s="49" t="s">
        <v>197</v>
      </c>
      <c r="B22" s="49">
        <v>230000</v>
      </c>
      <c r="C22" s="61">
        <v>258635</v>
      </c>
      <c r="D22" s="61">
        <v>286671</v>
      </c>
      <c r="E22" s="61">
        <v>308487</v>
      </c>
      <c r="F22" s="61">
        <v>326996</v>
      </c>
    </row>
    <row r="23" spans="1:6" ht="15.75" x14ac:dyDescent="0.25">
      <c r="A23" s="49" t="s">
        <v>187</v>
      </c>
      <c r="B23" s="97">
        <f>+(300000*12)*0.2</f>
        <v>720000</v>
      </c>
      <c r="C23" s="97">
        <f>+B23*(1+C3)</f>
        <v>809640</v>
      </c>
      <c r="D23" s="97">
        <f>+C23*(1+D3)</f>
        <v>897404.97600000002</v>
      </c>
      <c r="E23" s="97">
        <f>+D23*(1+E3)</f>
        <v>965697.49467360007</v>
      </c>
      <c r="F23" s="97">
        <f>+E23*(1+F3)</f>
        <v>1023639.3443540161</v>
      </c>
    </row>
    <row r="24" spans="1:6" ht="15.75" x14ac:dyDescent="0.25">
      <c r="A24" s="49" t="s">
        <v>198</v>
      </c>
      <c r="B24" s="61">
        <v>720000</v>
      </c>
      <c r="C24" s="61">
        <v>809640</v>
      </c>
      <c r="D24" s="61">
        <v>897405</v>
      </c>
      <c r="E24" s="61">
        <v>965697</v>
      </c>
      <c r="F24" s="61">
        <v>1023639</v>
      </c>
    </row>
    <row r="25" spans="1:6" ht="15.75" x14ac:dyDescent="0.25">
      <c r="A25" s="49" t="s">
        <v>186</v>
      </c>
      <c r="B25" s="113">
        <f>+ACTIVOS!F46</f>
        <v>898400</v>
      </c>
      <c r="C25" s="113">
        <f>+ACTIVOS!G46</f>
        <v>898400</v>
      </c>
      <c r="D25" s="113">
        <f>+ACTIVOS!H46</f>
        <v>898400</v>
      </c>
      <c r="E25" s="113">
        <f>+ACTIVOS!I46</f>
        <v>898400</v>
      </c>
      <c r="F25" s="113">
        <f>+ACTIVOS!J46</f>
        <v>898400</v>
      </c>
    </row>
    <row r="26" spans="1:6" ht="15.75" x14ac:dyDescent="0.25">
      <c r="A26" s="49" t="s">
        <v>199</v>
      </c>
      <c r="B26" s="61">
        <f>ACTIVOS!G69</f>
        <v>565344</v>
      </c>
      <c r="C26" s="61">
        <f>ACTIVOS!H69</f>
        <v>565344</v>
      </c>
      <c r="D26" s="61">
        <f>ACTIVOS!I69</f>
        <v>565344</v>
      </c>
      <c r="E26" s="61">
        <f>ACTIVOS!J69</f>
        <v>565344</v>
      </c>
      <c r="F26" s="61">
        <f>ACTIVOS!K69</f>
        <v>565344</v>
      </c>
    </row>
    <row r="27" spans="1:6" ht="15.75" x14ac:dyDescent="0.25">
      <c r="A27" s="49" t="s">
        <v>200</v>
      </c>
      <c r="B27" s="168">
        <v>600000</v>
      </c>
      <c r="C27" s="168">
        <v>674700</v>
      </c>
      <c r="D27" s="168">
        <v>747837</v>
      </c>
      <c r="E27" s="168">
        <v>804748</v>
      </c>
      <c r="F27" s="168">
        <v>853033</v>
      </c>
    </row>
    <row r="28" spans="1:6" ht="15.75" x14ac:dyDescent="0.25">
      <c r="A28" s="49" t="s">
        <v>201</v>
      </c>
      <c r="B28" s="61"/>
      <c r="C28" s="61"/>
      <c r="D28" s="61"/>
      <c r="E28" s="61"/>
      <c r="F28" s="61"/>
    </row>
    <row r="29" spans="1:6" ht="15.75" x14ac:dyDescent="0.25">
      <c r="A29" s="49" t="s">
        <v>202</v>
      </c>
      <c r="B29" s="103">
        <v>120000</v>
      </c>
      <c r="C29" s="103">
        <f>+B29*(1+C3)</f>
        <v>134940</v>
      </c>
      <c r="D29" s="103">
        <f>+C29*(1+D3)</f>
        <v>149567.49600000001</v>
      </c>
      <c r="E29" s="103">
        <f>+D29*(1+E3)</f>
        <v>160949.58244560001</v>
      </c>
      <c r="F29" s="103">
        <f>+E29*(1+F3)</f>
        <v>170606.55739233602</v>
      </c>
    </row>
    <row r="30" spans="1:6" ht="15.75" x14ac:dyDescent="0.25">
      <c r="A30" s="51" t="s">
        <v>203</v>
      </c>
      <c r="B30" s="99">
        <f>SUM(B18:B29)</f>
        <v>23276461</v>
      </c>
      <c r="C30" s="99">
        <f t="shared" ref="C30:F30" si="6">SUM(C18:C29)</f>
        <v>25744700</v>
      </c>
      <c r="D30" s="99">
        <f t="shared" si="6"/>
        <v>28103453.18</v>
      </c>
      <c r="E30" s="99">
        <f t="shared" si="6"/>
        <v>29833272.692798</v>
      </c>
      <c r="F30" s="99">
        <f t="shared" si="6"/>
        <v>31221294.75436588</v>
      </c>
    </row>
    <row r="31" spans="1:6" ht="15.75" x14ac:dyDescent="0.25">
      <c r="A31" s="51" t="s">
        <v>204</v>
      </c>
      <c r="B31" s="49"/>
      <c r="C31" s="49"/>
      <c r="D31" s="49"/>
      <c r="E31" s="49"/>
      <c r="F31" s="49"/>
    </row>
    <row r="32" spans="1:6" ht="15.75" x14ac:dyDescent="0.25">
      <c r="A32" s="49" t="s">
        <v>194</v>
      </c>
      <c r="B32" s="169">
        <f>+'MANO DE OBRA'!N37</f>
        <v>9836857.8000000007</v>
      </c>
      <c r="C32" s="169">
        <f>+B32*(1+(C3-0.02))</f>
        <v>10864809.440100001</v>
      </c>
      <c r="D32" s="169">
        <f>+C32*(1+(D3-0.02))</f>
        <v>11825258.594604842</v>
      </c>
      <c r="E32" s="169">
        <f>+D32*(1+(E3-0.02))</f>
        <v>12488655.601762174</v>
      </c>
      <c r="F32" s="169">
        <f>+E32*(1+(F3-0.02))</f>
        <v>12988201.825832661</v>
      </c>
    </row>
    <row r="33" spans="1:16" ht="15.75" x14ac:dyDescent="0.25">
      <c r="A33" s="49" t="s">
        <v>205</v>
      </c>
      <c r="B33" s="61"/>
      <c r="C33" s="61"/>
      <c r="D33" s="61"/>
      <c r="E33" s="61"/>
      <c r="F33" s="61"/>
    </row>
    <row r="34" spans="1:16" ht="15.75" x14ac:dyDescent="0.25">
      <c r="A34" s="49" t="s">
        <v>206</v>
      </c>
      <c r="B34" s="61"/>
      <c r="C34" s="61"/>
      <c r="D34" s="61"/>
      <c r="E34" s="61"/>
      <c r="F34" s="61"/>
    </row>
    <row r="35" spans="1:16" ht="15.75" x14ac:dyDescent="0.25">
      <c r="A35" s="49" t="s">
        <v>207</v>
      </c>
      <c r="B35" s="61">
        <v>4320000</v>
      </c>
      <c r="C35" s="61">
        <v>4857840</v>
      </c>
      <c r="D35" s="61">
        <v>5384430</v>
      </c>
      <c r="E35" s="61">
        <v>5794185</v>
      </c>
      <c r="F35" s="61">
        <v>6141836</v>
      </c>
    </row>
    <row r="36" spans="1:16" ht="15.75" x14ac:dyDescent="0.25">
      <c r="A36" s="49" t="s">
        <v>190</v>
      </c>
      <c r="B36" s="61">
        <f>ACTIVOS!G70</f>
        <v>565344</v>
      </c>
      <c r="C36" s="61">
        <f>ACTIVOS!H70</f>
        <v>565344</v>
      </c>
      <c r="D36" s="61">
        <f>ACTIVOS!I70</f>
        <v>565344</v>
      </c>
      <c r="E36" s="61">
        <f>ACTIVOS!J70</f>
        <v>565344</v>
      </c>
      <c r="F36" s="61">
        <f>ACTIVOS!K70</f>
        <v>565344</v>
      </c>
    </row>
    <row r="37" spans="1:16" ht="15.75" x14ac:dyDescent="0.25">
      <c r="A37" s="49" t="s">
        <v>208</v>
      </c>
      <c r="B37" s="100">
        <f>+'COSTOS DE PRODUCCION'!D72</f>
        <v>2950000</v>
      </c>
      <c r="C37" s="100">
        <f>+'COSTOS DE PRODUCCION'!F72</f>
        <v>2600000</v>
      </c>
      <c r="D37" s="100">
        <f>+'COSTOS DE PRODUCCION'!H72</f>
        <v>2770000</v>
      </c>
      <c r="E37" s="100">
        <f>+'COSTOS DE PRODUCCION'!J72</f>
        <v>2590000</v>
      </c>
      <c r="F37" s="100">
        <f>+'COSTOS DE PRODUCCION'!L72</f>
        <v>3110000</v>
      </c>
    </row>
    <row r="38" spans="1:16" ht="15.75" x14ac:dyDescent="0.25">
      <c r="A38" s="49" t="s">
        <v>209</v>
      </c>
      <c r="B38" s="103">
        <f>+'COSTOS DE PRODUCCION'!D64</f>
        <v>4397340</v>
      </c>
      <c r="C38" s="103">
        <f>+'COSTOS DE PRODUCCION'!G64</f>
        <v>2396669.34</v>
      </c>
      <c r="D38" s="103">
        <f>+'COSTOS DE PRODUCCION'!J64</f>
        <v>2419017.4325980004</v>
      </c>
      <c r="E38" s="103">
        <f>+'COSTOS DE PRODUCCION'!M64</f>
        <v>2770814.1241270229</v>
      </c>
      <c r="F38" s="103">
        <f>+'COSTOS DE PRODUCCION'!P64</f>
        <v>3000670.7830557539</v>
      </c>
    </row>
    <row r="39" spans="1:16" ht="15.75" x14ac:dyDescent="0.25">
      <c r="A39" s="49" t="s">
        <v>210</v>
      </c>
      <c r="B39" s="96">
        <f>+(350000*12)*0.3</f>
        <v>1260000</v>
      </c>
      <c r="C39" s="96">
        <f>+B39*(1+C3)</f>
        <v>1416870</v>
      </c>
      <c r="D39" s="96">
        <f>+C39*(1+D3)</f>
        <v>1570458.7080000001</v>
      </c>
      <c r="E39" s="96">
        <f>+D39*(1+E3)</f>
        <v>1689970.6156788003</v>
      </c>
      <c r="F39" s="96">
        <f>+E39*(1+F3)</f>
        <v>1791368.8526195283</v>
      </c>
    </row>
    <row r="40" spans="1:16" ht="15.75" x14ac:dyDescent="0.25">
      <c r="A40" s="51" t="s">
        <v>211</v>
      </c>
      <c r="B40" s="170">
        <f>SUM(B32:B39)</f>
        <v>23329541.800000001</v>
      </c>
      <c r="C40" s="170">
        <f t="shared" ref="C40:F40" si="7">SUM(C32:C39)</f>
        <v>22701532.780099999</v>
      </c>
      <c r="D40" s="170">
        <f t="shared" si="7"/>
        <v>24534508.735202845</v>
      </c>
      <c r="E40" s="170">
        <f t="shared" si="7"/>
        <v>25898969.341568001</v>
      </c>
      <c r="F40" s="170">
        <f t="shared" si="7"/>
        <v>27597421.461507943</v>
      </c>
    </row>
    <row r="41" spans="1:16" ht="15.75" x14ac:dyDescent="0.25">
      <c r="A41" s="51" t="s">
        <v>212</v>
      </c>
      <c r="B41" s="171">
        <f>+B16+B30+B40</f>
        <v>132894434.83888</v>
      </c>
      <c r="C41" s="171">
        <f t="shared" ref="C41:F41" si="8">+C16+C30+C40</f>
        <v>152989914.62668097</v>
      </c>
      <c r="D41" s="171">
        <f t="shared" si="8"/>
        <v>177177249.77114996</v>
      </c>
      <c r="E41" s="171">
        <f t="shared" si="8"/>
        <v>199329476.07976755</v>
      </c>
      <c r="F41" s="171">
        <f t="shared" si="8"/>
        <v>221799620.89437884</v>
      </c>
      <c r="H41" s="238"/>
      <c r="I41" s="238"/>
      <c r="J41" s="238"/>
    </row>
    <row r="42" spans="1:16" ht="15.75" x14ac:dyDescent="0.25">
      <c r="A42" s="49" t="s">
        <v>213</v>
      </c>
      <c r="B42" s="61"/>
      <c r="C42" s="61"/>
      <c r="D42" s="61"/>
      <c r="E42" s="61"/>
      <c r="F42" s="61"/>
    </row>
    <row r="43" spans="1:16" ht="15.75" x14ac:dyDescent="0.25">
      <c r="A43" s="51" t="s">
        <v>214</v>
      </c>
      <c r="B43" s="171">
        <f>+B41+B42</f>
        <v>132894434.83888</v>
      </c>
      <c r="C43" s="171">
        <f t="shared" ref="C43:F43" si="9">+C41+C42</f>
        <v>152989914.62668097</v>
      </c>
      <c r="D43" s="171">
        <f t="shared" si="9"/>
        <v>177177249.77114996</v>
      </c>
      <c r="E43" s="171">
        <f t="shared" si="9"/>
        <v>199329476.07976755</v>
      </c>
      <c r="F43" s="171">
        <f t="shared" si="9"/>
        <v>221799620.89437884</v>
      </c>
    </row>
    <row r="45" spans="1:16" ht="15.75" x14ac:dyDescent="0.25">
      <c r="A45" s="301" t="s">
        <v>372</v>
      </c>
      <c r="B45" s="297" t="s">
        <v>2</v>
      </c>
      <c r="C45" s="298"/>
      <c r="D45" s="299"/>
      <c r="E45" s="302" t="s">
        <v>3</v>
      </c>
      <c r="F45" s="303"/>
      <c r="G45" s="304"/>
      <c r="H45" s="305" t="s">
        <v>4</v>
      </c>
      <c r="I45" s="306"/>
      <c r="J45" s="307"/>
      <c r="K45" s="291" t="s">
        <v>5</v>
      </c>
      <c r="L45" s="292"/>
      <c r="M45" s="293"/>
      <c r="N45" s="294" t="s">
        <v>6</v>
      </c>
      <c r="O45" s="295"/>
      <c r="P45" s="296"/>
    </row>
    <row r="46" spans="1:16" s="189" customFormat="1" ht="45" x14ac:dyDescent="0.25">
      <c r="A46" s="301"/>
      <c r="B46" s="173" t="s">
        <v>43</v>
      </c>
      <c r="C46" s="173" t="s">
        <v>376</v>
      </c>
      <c r="D46" s="173" t="s">
        <v>377</v>
      </c>
      <c r="E46" s="247" t="s">
        <v>43</v>
      </c>
      <c r="F46" s="247" t="s">
        <v>376</v>
      </c>
      <c r="G46" s="247" t="s">
        <v>377</v>
      </c>
      <c r="H46" s="246" t="s">
        <v>43</v>
      </c>
      <c r="I46" s="246" t="s">
        <v>376</v>
      </c>
      <c r="J46" s="246" t="s">
        <v>377</v>
      </c>
      <c r="K46" s="245" t="s">
        <v>43</v>
      </c>
      <c r="L46" s="245" t="s">
        <v>376</v>
      </c>
      <c r="M46" s="245" t="s">
        <v>377</v>
      </c>
      <c r="N46" s="244" t="s">
        <v>43</v>
      </c>
      <c r="O46" s="244" t="s">
        <v>376</v>
      </c>
      <c r="P46" s="244" t="s">
        <v>377</v>
      </c>
    </row>
    <row r="47" spans="1:16" ht="15.75" x14ac:dyDescent="0.25">
      <c r="A47" s="239" t="s">
        <v>373</v>
      </c>
      <c r="B47" s="240">
        <v>115980</v>
      </c>
      <c r="C47" s="242">
        <f>'COSTOS DE PRODUCCION'!C53</f>
        <v>615</v>
      </c>
      <c r="D47" s="39">
        <f>B47*C47</f>
        <v>71327700</v>
      </c>
      <c r="E47" s="240">
        <v>132552</v>
      </c>
      <c r="F47" s="243">
        <f>'COSTOS DE PRODUCCION'!F53</f>
        <v>691.5675</v>
      </c>
      <c r="G47" s="39">
        <f>E47*F47</f>
        <v>91668655.260000005</v>
      </c>
      <c r="H47" s="240">
        <v>149711</v>
      </c>
      <c r="I47" s="243">
        <f>'COSTOS DE PRODUCCION'!I53</f>
        <v>766.53341699999999</v>
      </c>
      <c r="J47" s="39">
        <f>H47*I47</f>
        <v>114758484.392487</v>
      </c>
      <c r="K47" s="240">
        <v>167328</v>
      </c>
      <c r="L47" s="243">
        <f>'COSTOS DE PRODUCCION'!L53</f>
        <v>824.8666100337</v>
      </c>
      <c r="M47" s="39">
        <f>K47*L47</f>
        <v>138023280.12371895</v>
      </c>
      <c r="N47" s="240">
        <v>185484</v>
      </c>
      <c r="O47" s="243">
        <f>'COSTOS DE PRODUCCION'!O53</f>
        <v>874.35860663572203</v>
      </c>
      <c r="P47" s="39">
        <f>N47*O47</f>
        <v>162179531.79322025</v>
      </c>
    </row>
    <row r="48" spans="1:16" ht="15.75" x14ac:dyDescent="0.25">
      <c r="A48" s="239" t="s">
        <v>374</v>
      </c>
      <c r="B48" s="240">
        <v>82503</v>
      </c>
      <c r="C48" s="242">
        <f>'COSTOS DE PRODUCCION'!C54</f>
        <v>440</v>
      </c>
      <c r="D48" s="39">
        <f t="shared" ref="D48:D49" si="10">B48*C48</f>
        <v>36301320</v>
      </c>
      <c r="E48" s="240">
        <v>94332</v>
      </c>
      <c r="F48" s="243">
        <f>'COSTOS DE PRODUCCION'!F54</f>
        <v>494.78000000000003</v>
      </c>
      <c r="G48" s="39">
        <f t="shared" ref="G48:G49" si="11">E48*F48</f>
        <v>46673586.960000001</v>
      </c>
      <c r="H48" s="240">
        <v>106565</v>
      </c>
      <c r="I48" s="243">
        <f>'COSTOS DE PRODUCCION'!I54</f>
        <v>548.41415200000006</v>
      </c>
      <c r="J48" s="39">
        <f t="shared" ref="J48:J49" si="12">H48*I48</f>
        <v>58441754.107880004</v>
      </c>
      <c r="K48" s="240">
        <v>119077</v>
      </c>
      <c r="L48" s="243">
        <f>'COSTOS DE PRODUCCION'!L54</f>
        <v>590.14846896720007</v>
      </c>
      <c r="M48" s="39">
        <f>K48*L48</f>
        <v>70273109.239207283</v>
      </c>
      <c r="N48" s="240">
        <v>131952</v>
      </c>
      <c r="O48" s="243">
        <f>'COSTOS DE PRODUCCION'!O54</f>
        <v>625.55737710523215</v>
      </c>
      <c r="P48" s="39">
        <f t="shared" ref="P48:P49" si="13">N48*O48</f>
        <v>82543547.0237896</v>
      </c>
    </row>
    <row r="49" spans="1:16" ht="15.75" x14ac:dyDescent="0.25">
      <c r="A49" s="239" t="s">
        <v>375</v>
      </c>
      <c r="B49" s="240">
        <v>138273</v>
      </c>
      <c r="C49" s="242">
        <f>'COSTOS DE PRODUCCION'!C55</f>
        <v>300</v>
      </c>
      <c r="D49" s="39">
        <f t="shared" si="10"/>
        <v>41481900</v>
      </c>
      <c r="E49" s="240">
        <v>157086</v>
      </c>
      <c r="F49" s="243">
        <f>'COSTOS DE PRODUCCION'!F55</f>
        <v>337.35</v>
      </c>
      <c r="G49" s="39">
        <f t="shared" si="11"/>
        <v>52992962.100000001</v>
      </c>
      <c r="H49" s="240">
        <v>177408</v>
      </c>
      <c r="I49" s="243">
        <f>'COSTOS DE PRODUCCION'!I55</f>
        <v>373.91874000000007</v>
      </c>
      <c r="J49" s="39">
        <f t="shared" si="12"/>
        <v>66336175.825920016</v>
      </c>
      <c r="K49" s="240">
        <v>198254</v>
      </c>
      <c r="L49" s="243">
        <f>'COSTOS DE PRODUCCION'!L55</f>
        <v>402.37395611400012</v>
      </c>
      <c r="M49" s="39">
        <f t="shared" ref="M49" si="14">K49*L49</f>
        <v>79772246.295424983</v>
      </c>
      <c r="N49" s="240">
        <v>219712</v>
      </c>
      <c r="O49" s="243">
        <f>'COSTOS DE PRODUCCION'!O55</f>
        <v>426.51639348084018</v>
      </c>
      <c r="P49" s="39">
        <f t="shared" si="13"/>
        <v>93710769.84446235</v>
      </c>
    </row>
    <row r="50" spans="1:16" ht="15.75" x14ac:dyDescent="0.25">
      <c r="A50" s="239" t="s">
        <v>378</v>
      </c>
      <c r="B50" s="39"/>
      <c r="C50" s="39"/>
      <c r="D50" s="241">
        <f>SUM(D47:D49)</f>
        <v>149110920</v>
      </c>
      <c r="E50" s="39"/>
      <c r="F50" s="39"/>
      <c r="G50" s="241">
        <f>SUM(G47:G49)</f>
        <v>191335204.31999999</v>
      </c>
      <c r="H50" s="39"/>
      <c r="I50" s="39"/>
      <c r="J50" s="241">
        <f>SUM(J47:J49)</f>
        <v>239536414.32628703</v>
      </c>
      <c r="K50" s="39"/>
      <c r="L50" s="39"/>
      <c r="M50" s="241">
        <f>SUM(M47:M49)</f>
        <v>288068635.65835124</v>
      </c>
      <c r="N50" s="39"/>
      <c r="O50" s="39"/>
      <c r="P50" s="241">
        <f>SUM(P47:P49)</f>
        <v>338433848.6614722</v>
      </c>
    </row>
    <row r="52" spans="1:16" ht="15.75" x14ac:dyDescent="0.25">
      <c r="E52" s="297"/>
      <c r="F52" s="298"/>
      <c r="G52" s="299"/>
    </row>
  </sheetData>
  <mergeCells count="8">
    <mergeCell ref="K45:M45"/>
    <mergeCell ref="N45:P45"/>
    <mergeCell ref="E52:G52"/>
    <mergeCell ref="A1:F1"/>
    <mergeCell ref="B45:D45"/>
    <mergeCell ref="A45:A46"/>
    <mergeCell ref="E45:G45"/>
    <mergeCell ref="H45:J45"/>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54"/>
  <sheetViews>
    <sheetView topLeftCell="A31" workbookViewId="0">
      <selection activeCell="B51" sqref="B51:E51"/>
    </sheetView>
  </sheetViews>
  <sheetFormatPr baseColWidth="10" defaultRowHeight="15" x14ac:dyDescent="0.25"/>
  <cols>
    <col min="1" max="1" width="54.5703125" bestFit="1" customWidth="1"/>
    <col min="2" max="2" width="13.7109375" bestFit="1" customWidth="1"/>
    <col min="3" max="3" width="13.28515625" bestFit="1" customWidth="1"/>
    <col min="5" max="5" width="13.7109375" bestFit="1" customWidth="1"/>
    <col min="7" max="7" width="13.28515625" bestFit="1" customWidth="1"/>
  </cols>
  <sheetData>
    <row r="1" spans="1:5" ht="20.25" x14ac:dyDescent="0.3">
      <c r="A1" s="309" t="s">
        <v>229</v>
      </c>
      <c r="B1" s="309"/>
      <c r="C1" s="309"/>
      <c r="D1" s="309"/>
      <c r="E1" s="309"/>
    </row>
    <row r="2" spans="1:5" x14ac:dyDescent="0.25">
      <c r="A2" s="310" t="s">
        <v>215</v>
      </c>
      <c r="B2" s="311" t="s">
        <v>216</v>
      </c>
      <c r="C2" s="311"/>
      <c r="D2" s="311"/>
      <c r="E2" s="312" t="s">
        <v>105</v>
      </c>
    </row>
    <row r="3" spans="1:5" ht="30" x14ac:dyDescent="0.25">
      <c r="A3" s="310"/>
      <c r="B3" s="93" t="s">
        <v>217</v>
      </c>
      <c r="C3" s="93" t="s">
        <v>218</v>
      </c>
      <c r="D3" s="93" t="s">
        <v>219</v>
      </c>
      <c r="E3" s="312"/>
    </row>
    <row r="4" spans="1:5" x14ac:dyDescent="0.25">
      <c r="A4" s="2" t="s">
        <v>220</v>
      </c>
      <c r="B4" s="39">
        <v>120000</v>
      </c>
      <c r="C4" s="39">
        <v>90000</v>
      </c>
      <c r="D4" s="39">
        <v>145000</v>
      </c>
      <c r="E4" s="39">
        <f>SUM(B4:D4)</f>
        <v>355000</v>
      </c>
    </row>
    <row r="5" spans="1:5" ht="15.75" thickBot="1" x14ac:dyDescent="0.3">
      <c r="A5" s="185" t="s">
        <v>230</v>
      </c>
      <c r="B5" s="183">
        <f>(B4/$E$4)</f>
        <v>0.3380281690140845</v>
      </c>
      <c r="C5" s="183">
        <f t="shared" ref="C5:D5" si="0">(C4/$E$4)</f>
        <v>0.25352112676056338</v>
      </c>
      <c r="D5" s="183">
        <f t="shared" si="0"/>
        <v>0.40845070422535212</v>
      </c>
      <c r="E5" s="3">
        <f>+B5+C5+D5</f>
        <v>1</v>
      </c>
    </row>
    <row r="6" spans="1:5" ht="19.5" thickBot="1" x14ac:dyDescent="0.35">
      <c r="A6" s="182" t="s">
        <v>221</v>
      </c>
      <c r="B6" s="178">
        <v>615</v>
      </c>
      <c r="C6" s="179">
        <v>440</v>
      </c>
      <c r="D6" s="179">
        <v>300</v>
      </c>
      <c r="E6" s="180"/>
    </row>
    <row r="7" spans="1:5" x14ac:dyDescent="0.25">
      <c r="A7" s="186" t="s">
        <v>222</v>
      </c>
      <c r="B7" s="184"/>
      <c r="C7" s="184"/>
      <c r="D7" s="184"/>
      <c r="E7" s="39"/>
    </row>
    <row r="8" spans="1:5" x14ac:dyDescent="0.25">
      <c r="A8" s="2" t="s">
        <v>223</v>
      </c>
      <c r="B8" s="39">
        <f>$E$8*B5</f>
        <v>12611251.36428169</v>
      </c>
      <c r="C8" s="39">
        <f t="shared" ref="C8:D8" si="1">$E$8*C5</f>
        <v>9458438.5232112668</v>
      </c>
      <c r="D8" s="39">
        <f t="shared" si="1"/>
        <v>15238595.398507042</v>
      </c>
      <c r="E8" s="39">
        <f>'[1]MATERIA PRIMA DIRECTA'!F31</f>
        <v>37308285.285999998</v>
      </c>
    </row>
    <row r="9" spans="1:5" x14ac:dyDescent="0.25">
      <c r="A9" s="2" t="s">
        <v>224</v>
      </c>
      <c r="B9" s="39">
        <f>'[1]MATERIA PRIMA DIRECTA'!F33</f>
        <v>25339080</v>
      </c>
      <c r="C9" s="39">
        <f>'[1]MATERIA PRIMA DIRECTA'!F34</f>
        <v>1037193.75</v>
      </c>
      <c r="D9" s="39">
        <f>'[1]MATERIA PRIMA DIRECTA'!F35</f>
        <v>1075613</v>
      </c>
      <c r="E9" s="39">
        <f>SUM(B9:D9)</f>
        <v>27451886.75</v>
      </c>
    </row>
    <row r="10" spans="1:5" x14ac:dyDescent="0.25">
      <c r="A10" s="2" t="s">
        <v>225</v>
      </c>
      <c r="B10" s="39">
        <f>'[1]MATERIA PRIMA DIRECTA'!F36</f>
        <v>4548040</v>
      </c>
      <c r="C10" s="39"/>
      <c r="D10" s="39"/>
      <c r="E10" s="39">
        <f>SUM(B10:D10)</f>
        <v>4548040</v>
      </c>
    </row>
    <row r="11" spans="1:5" x14ac:dyDescent="0.25">
      <c r="A11" s="92" t="s">
        <v>226</v>
      </c>
      <c r="B11" s="39">
        <f>'[1]MATERIA PRIMA DIRECTA'!F39</f>
        <v>216600</v>
      </c>
      <c r="C11" s="39">
        <f>'[1]MATERIA PRIMA DIRECTA'!F37</f>
        <v>57630</v>
      </c>
      <c r="D11" s="39">
        <f>'[1]MATERIA PRIMA DIRECTA'!F38</f>
        <v>108851</v>
      </c>
      <c r="E11" s="39">
        <f>SUM(B11:D11)</f>
        <v>383081</v>
      </c>
    </row>
    <row r="12" spans="1:5" x14ac:dyDescent="0.25">
      <c r="A12" s="92" t="s">
        <v>227</v>
      </c>
      <c r="B12" s="39"/>
      <c r="C12" s="39">
        <f>'[1]MATERIA PRIMA DIRECTA'!F40*0.5</f>
        <v>54150</v>
      </c>
      <c r="D12" s="39">
        <f>'[1]MATERIA PRIMA DIRECTA'!F40*0.5</f>
        <v>54150</v>
      </c>
      <c r="E12" s="39">
        <f>SUM(B12:D12)</f>
        <v>108300</v>
      </c>
    </row>
    <row r="13" spans="1:5" x14ac:dyDescent="0.25">
      <c r="A13" s="2" t="s">
        <v>182</v>
      </c>
      <c r="B13" s="174">
        <f>+$E$13*B5</f>
        <v>3396700.5170298587</v>
      </c>
      <c r="C13" s="174">
        <f t="shared" ref="C13:D13" si="2">+$E$13*C5</f>
        <v>2547525.3877723939</v>
      </c>
      <c r="D13" s="174">
        <f t="shared" si="2"/>
        <v>4104346.458077746</v>
      </c>
      <c r="E13" s="174">
        <f>+'MANO DE OBRA'!N6</f>
        <v>10048572.362879999</v>
      </c>
    </row>
    <row r="14" spans="1:5" x14ac:dyDescent="0.25">
      <c r="A14" s="2" t="s">
        <v>32</v>
      </c>
      <c r="B14" s="95">
        <v>0</v>
      </c>
      <c r="C14" s="95">
        <v>0</v>
      </c>
      <c r="D14" s="95">
        <v>0</v>
      </c>
      <c r="E14" s="95">
        <v>0</v>
      </c>
    </row>
    <row r="15" spans="1:5" x14ac:dyDescent="0.25">
      <c r="A15" s="2" t="s">
        <v>231</v>
      </c>
      <c r="B15" s="95">
        <v>0</v>
      </c>
      <c r="C15" s="95">
        <v>0</v>
      </c>
      <c r="D15" s="95">
        <v>0</v>
      </c>
      <c r="E15" s="95">
        <v>0</v>
      </c>
    </row>
    <row r="16" spans="1:5" x14ac:dyDescent="0.25">
      <c r="A16" s="94" t="s">
        <v>228</v>
      </c>
      <c r="B16" s="175">
        <f>SUM(B8:B15)</f>
        <v>46111671.881311551</v>
      </c>
      <c r="C16" s="175">
        <f t="shared" ref="C16:E16" si="3">SUM(C8:C15)</f>
        <v>13154937.660983661</v>
      </c>
      <c r="D16" s="175">
        <f t="shared" si="3"/>
        <v>20581555.856584787</v>
      </c>
      <c r="E16" s="175">
        <f t="shared" si="3"/>
        <v>79848165.398880005</v>
      </c>
    </row>
    <row r="17" spans="1:7" x14ac:dyDescent="0.25">
      <c r="A17" s="94" t="s">
        <v>232</v>
      </c>
      <c r="B17" s="176">
        <f>+$E$17*B5</f>
        <v>17931133.331830986</v>
      </c>
      <c r="C17" s="176">
        <f t="shared" ref="C17:D17" si="4">+$E$17*C5</f>
        <v>13448349.998873239</v>
      </c>
      <c r="D17" s="176">
        <f t="shared" si="4"/>
        <v>21666786.109295774</v>
      </c>
      <c r="E17" s="176">
        <f>'HOJA 5'!B43-'HOJA 6'!E16</f>
        <v>53046269.439999998</v>
      </c>
    </row>
    <row r="18" spans="1:7" ht="15.75" thickBot="1" x14ac:dyDescent="0.3">
      <c r="A18" s="181" t="s">
        <v>269</v>
      </c>
      <c r="B18" s="177">
        <f>+B16+B17</f>
        <v>64042805.213142537</v>
      </c>
      <c r="C18" s="177">
        <f t="shared" ref="C18:E18" si="5">+C16+C17</f>
        <v>26603287.659856901</v>
      </c>
      <c r="D18" s="177">
        <f t="shared" si="5"/>
        <v>42248341.965880558</v>
      </c>
      <c r="E18" s="177">
        <f t="shared" si="5"/>
        <v>132894434.83888</v>
      </c>
    </row>
    <row r="19" spans="1:7" ht="19.5" thickBot="1" x14ac:dyDescent="0.35">
      <c r="A19" s="182" t="s">
        <v>270</v>
      </c>
      <c r="B19" s="178">
        <f>+B18/B4</f>
        <v>533.69004344285452</v>
      </c>
      <c r="C19" s="179">
        <f t="shared" ref="C19:D19" si="6">+C18/C4</f>
        <v>295.59208510952112</v>
      </c>
      <c r="D19" s="179">
        <f t="shared" si="6"/>
        <v>291.36787562676244</v>
      </c>
      <c r="E19" s="180"/>
    </row>
    <row r="20" spans="1:7" ht="15.75" thickBot="1" x14ac:dyDescent="0.3"/>
    <row r="21" spans="1:7" ht="18.75" thickBot="1" x14ac:dyDescent="0.3">
      <c r="A21" s="182" t="s">
        <v>271</v>
      </c>
    </row>
    <row r="22" spans="1:7" ht="18" x14ac:dyDescent="0.25">
      <c r="A22" s="187"/>
      <c r="B22" s="257" t="str">
        <f>+B3</f>
        <v>Envase de 473 ml</v>
      </c>
      <c r="C22" s="258"/>
      <c r="D22" s="257" t="s">
        <v>218</v>
      </c>
      <c r="E22" s="258"/>
      <c r="F22" s="257" t="s">
        <v>219</v>
      </c>
      <c r="G22" s="258"/>
    </row>
    <row r="23" spans="1:7" x14ac:dyDescent="0.25">
      <c r="A23" t="s">
        <v>215</v>
      </c>
      <c r="B23" s="6" t="s">
        <v>272</v>
      </c>
      <c r="C23" s="7" t="s">
        <v>273</v>
      </c>
      <c r="D23" s="6" t="s">
        <v>272</v>
      </c>
      <c r="E23" s="7" t="s">
        <v>273</v>
      </c>
      <c r="F23" s="6" t="s">
        <v>272</v>
      </c>
      <c r="G23" s="7" t="s">
        <v>273</v>
      </c>
    </row>
    <row r="24" spans="1:7" ht="18" x14ac:dyDescent="0.25">
      <c r="A24" s="187" t="s">
        <v>274</v>
      </c>
      <c r="B24" s="193">
        <f>+B4*B6</f>
        <v>73800000</v>
      </c>
      <c r="C24" s="194">
        <f>+B24/$B$24</f>
        <v>1</v>
      </c>
      <c r="D24" s="193"/>
      <c r="E24" s="194"/>
      <c r="F24" s="193"/>
      <c r="G24" s="194"/>
    </row>
    <row r="25" spans="1:7" ht="18" x14ac:dyDescent="0.25">
      <c r="A25" s="187" t="s">
        <v>275</v>
      </c>
      <c r="B25" s="193">
        <f>+B16</f>
        <v>46111671.881311551</v>
      </c>
      <c r="C25" s="194">
        <f t="shared" ref="C25:C26" si="7">+B25/$B$24</f>
        <v>0.62481940218579335</v>
      </c>
      <c r="D25" s="193"/>
      <c r="E25" s="194"/>
      <c r="F25" s="193"/>
      <c r="G25" s="194"/>
    </row>
    <row r="26" spans="1:7" ht="18" x14ac:dyDescent="0.25">
      <c r="A26" s="187" t="s">
        <v>276</v>
      </c>
      <c r="B26" s="193">
        <f>+B24-B25</f>
        <v>27688328.118688449</v>
      </c>
      <c r="C26" s="194">
        <f t="shared" si="7"/>
        <v>0.37518059781420665</v>
      </c>
      <c r="D26" s="193"/>
      <c r="E26" s="194"/>
      <c r="F26" s="193"/>
      <c r="G26" s="194"/>
    </row>
    <row r="27" spans="1:7" x14ac:dyDescent="0.25">
      <c r="B27" s="193"/>
      <c r="C27" s="7"/>
      <c r="D27" s="193"/>
      <c r="E27" s="7"/>
      <c r="F27" s="193"/>
      <c r="G27" s="7"/>
    </row>
    <row r="28" spans="1:7" ht="18" x14ac:dyDescent="0.25">
      <c r="A28" s="187" t="s">
        <v>277</v>
      </c>
      <c r="B28" s="193">
        <f>+B17/C26</f>
        <v>47793338.558276594</v>
      </c>
      <c r="C28" s="7"/>
      <c r="D28" s="193"/>
      <c r="E28" s="7"/>
      <c r="F28" s="193"/>
      <c r="G28" s="7"/>
    </row>
    <row r="29" spans="1:7" x14ac:dyDescent="0.25">
      <c r="B29" s="193"/>
      <c r="C29" s="7"/>
      <c r="D29" s="193"/>
      <c r="E29" s="7"/>
      <c r="F29" s="193"/>
      <c r="G29" s="7"/>
    </row>
    <row r="30" spans="1:7" ht="18" x14ac:dyDescent="0.25">
      <c r="A30" s="187" t="s">
        <v>278</v>
      </c>
      <c r="B30" s="193">
        <f>+B26/B4</f>
        <v>230.73606765573709</v>
      </c>
      <c r="C30" s="7"/>
      <c r="D30" s="193"/>
      <c r="E30" s="7"/>
      <c r="F30" s="193"/>
      <c r="G30" s="7"/>
    </row>
    <row r="31" spans="1:7" x14ac:dyDescent="0.25">
      <c r="B31" s="193"/>
      <c r="C31" s="7"/>
      <c r="D31" s="193"/>
      <c r="E31" s="7"/>
      <c r="F31" s="193"/>
      <c r="G31" s="7"/>
    </row>
    <row r="32" spans="1:7" ht="18" x14ac:dyDescent="0.25">
      <c r="A32" s="187" t="s">
        <v>279</v>
      </c>
      <c r="B32" s="193">
        <f>ROUND((B17/B30),0)</f>
        <v>77713</v>
      </c>
      <c r="C32" s="7"/>
      <c r="D32" s="193"/>
      <c r="E32" s="7"/>
      <c r="F32" s="193"/>
      <c r="G32" s="7"/>
    </row>
    <row r="33" spans="1:7" x14ac:dyDescent="0.25">
      <c r="B33" s="193"/>
      <c r="C33" s="7"/>
      <c r="D33" s="193"/>
      <c r="E33" s="7"/>
      <c r="F33" s="193"/>
      <c r="G33" s="7"/>
    </row>
    <row r="34" spans="1:7" x14ac:dyDescent="0.25">
      <c r="A34" t="s">
        <v>280</v>
      </c>
      <c r="B34" s="193"/>
      <c r="C34" s="7"/>
      <c r="D34" s="193"/>
      <c r="E34" s="7"/>
      <c r="F34" s="193"/>
      <c r="G34" s="7"/>
    </row>
    <row r="35" spans="1:7" ht="15.75" thickBot="1" x14ac:dyDescent="0.3">
      <c r="A35" t="s">
        <v>279</v>
      </c>
      <c r="B35" s="195">
        <f>ROUND((B28/B6),0)</f>
        <v>77713</v>
      </c>
      <c r="C35" s="17"/>
      <c r="D35" s="195"/>
      <c r="E35" s="17"/>
      <c r="F35" s="195"/>
      <c r="G35" s="17"/>
    </row>
    <row r="36" spans="1:7" x14ac:dyDescent="0.25">
      <c r="B36" s="188"/>
    </row>
    <row r="37" spans="1:7" x14ac:dyDescent="0.25">
      <c r="B37" s="188"/>
    </row>
    <row r="38" spans="1:7" x14ac:dyDescent="0.25">
      <c r="B38" s="188"/>
    </row>
    <row r="39" spans="1:7" ht="54" customHeight="1" x14ac:dyDescent="0.25">
      <c r="B39" s="308" t="s">
        <v>287</v>
      </c>
      <c r="C39" s="308"/>
      <c r="D39" s="308"/>
      <c r="E39" s="308"/>
    </row>
    <row r="40" spans="1:7" s="189" customFormat="1" ht="60" x14ac:dyDescent="0.25">
      <c r="B40" s="173" t="s">
        <v>281</v>
      </c>
      <c r="C40" s="173" t="s">
        <v>282</v>
      </c>
      <c r="D40" s="173" t="s">
        <v>232</v>
      </c>
      <c r="E40" s="173" t="s">
        <v>283</v>
      </c>
    </row>
    <row r="41" spans="1:7" x14ac:dyDescent="0.25">
      <c r="B41" s="2">
        <v>0</v>
      </c>
      <c r="C41" s="2">
        <v>0</v>
      </c>
      <c r="D41" s="39">
        <f>+B17</f>
        <v>17931133.331830986</v>
      </c>
      <c r="E41" s="39">
        <f>+D41+0</f>
        <v>17931133.331830986</v>
      </c>
    </row>
    <row r="42" spans="1:7" x14ac:dyDescent="0.25">
      <c r="B42" s="39">
        <f>+B4</f>
        <v>120000</v>
      </c>
      <c r="C42" s="39">
        <f>+B24</f>
        <v>73800000</v>
      </c>
      <c r="D42" s="39">
        <f>+B17</f>
        <v>17931133.331830986</v>
      </c>
      <c r="E42" s="39">
        <f>+B18</f>
        <v>64042805.213142537</v>
      </c>
    </row>
    <row r="45" spans="1:7" ht="62.25" customHeight="1" x14ac:dyDescent="0.25">
      <c r="B45" s="308" t="s">
        <v>288</v>
      </c>
      <c r="C45" s="308"/>
      <c r="D45" s="308"/>
      <c r="E45" s="308"/>
    </row>
    <row r="46" spans="1:7" ht="60" x14ac:dyDescent="0.25">
      <c r="B46" s="173" t="s">
        <v>281</v>
      </c>
      <c r="C46" s="173" t="s">
        <v>282</v>
      </c>
      <c r="D46" s="173" t="s">
        <v>232</v>
      </c>
      <c r="E46" s="173" t="s">
        <v>283</v>
      </c>
    </row>
    <row r="47" spans="1:7" x14ac:dyDescent="0.25">
      <c r="B47" s="2">
        <v>0</v>
      </c>
      <c r="C47" s="2">
        <v>0</v>
      </c>
      <c r="D47" s="39" t="str">
        <f>+B23</f>
        <v>VALORES</v>
      </c>
      <c r="E47" s="39" t="e">
        <f>+D47+0</f>
        <v>#VALUE!</v>
      </c>
    </row>
    <row r="48" spans="1:7" x14ac:dyDescent="0.25">
      <c r="B48" s="39">
        <f>+B10</f>
        <v>4548040</v>
      </c>
      <c r="C48" s="39">
        <f>+B30</f>
        <v>230.73606765573709</v>
      </c>
      <c r="D48" s="39" t="str">
        <f>+B23</f>
        <v>VALORES</v>
      </c>
      <c r="E48" s="39">
        <f>+B24</f>
        <v>73800000</v>
      </c>
    </row>
    <row r="51" spans="2:5" ht="55.5" customHeight="1" x14ac:dyDescent="0.25">
      <c r="B51" s="308" t="s">
        <v>289</v>
      </c>
      <c r="C51" s="308"/>
      <c r="D51" s="308"/>
      <c r="E51" s="308"/>
    </row>
    <row r="52" spans="2:5" ht="60" x14ac:dyDescent="0.25">
      <c r="B52" s="173" t="s">
        <v>281</v>
      </c>
      <c r="C52" s="173" t="s">
        <v>282</v>
      </c>
      <c r="D52" s="173" t="s">
        <v>232</v>
      </c>
      <c r="E52" s="173" t="s">
        <v>283</v>
      </c>
    </row>
    <row r="53" spans="2:5" x14ac:dyDescent="0.25">
      <c r="B53" s="2">
        <v>0</v>
      </c>
      <c r="C53" s="2">
        <v>0</v>
      </c>
      <c r="D53" s="39">
        <f>+B29</f>
        <v>0</v>
      </c>
      <c r="E53" s="39">
        <f>+D53+0</f>
        <v>0</v>
      </c>
    </row>
    <row r="54" spans="2:5" x14ac:dyDescent="0.25">
      <c r="B54" s="39">
        <f>+B16</f>
        <v>46111671.881311551</v>
      </c>
      <c r="C54" s="39">
        <f>+B36</f>
        <v>0</v>
      </c>
      <c r="D54" s="39">
        <f>+B29</f>
        <v>0</v>
      </c>
      <c r="E54" s="39">
        <f>+B30</f>
        <v>230.73606765573709</v>
      </c>
    </row>
  </sheetData>
  <mergeCells count="10">
    <mergeCell ref="B45:E45"/>
    <mergeCell ref="B51:E51"/>
    <mergeCell ref="D22:E22"/>
    <mergeCell ref="F22:G22"/>
    <mergeCell ref="A1:E1"/>
    <mergeCell ref="A2:A3"/>
    <mergeCell ref="B2:D2"/>
    <mergeCell ref="E2:E3"/>
    <mergeCell ref="B22:C22"/>
    <mergeCell ref="B39:E39"/>
  </mergeCells>
  <pageMargins left="0.7" right="0.7" top="0.75" bottom="0.75" header="0.3" footer="0.3"/>
  <pageSetup paperSize="9" orientation="portrait" horizontalDpi="200" verticalDpi="200"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E29"/>
  <sheetViews>
    <sheetView topLeftCell="A10" workbookViewId="0">
      <selection activeCell="E30" sqref="E30"/>
    </sheetView>
  </sheetViews>
  <sheetFormatPr baseColWidth="10" defaultRowHeight="15" x14ac:dyDescent="0.25"/>
  <cols>
    <col min="1" max="1" width="15.28515625" customWidth="1"/>
    <col min="2" max="2" width="16.42578125" customWidth="1"/>
  </cols>
  <sheetData>
    <row r="6" spans="1:3" x14ac:dyDescent="0.25">
      <c r="A6" s="313" t="s">
        <v>282</v>
      </c>
      <c r="B6" s="313"/>
      <c r="C6" s="191">
        <f>+'HOJA 6'!$B$24</f>
        <v>73800000</v>
      </c>
    </row>
    <row r="7" spans="1:3" x14ac:dyDescent="0.25">
      <c r="A7" s="190"/>
      <c r="B7" s="190"/>
      <c r="C7" s="190"/>
    </row>
    <row r="8" spans="1:3" x14ac:dyDescent="0.25">
      <c r="A8" s="313" t="s">
        <v>232</v>
      </c>
      <c r="B8" s="313"/>
      <c r="C8" s="191">
        <f>+'HOJA 6'!$B$17</f>
        <v>17931133.331830986</v>
      </c>
    </row>
    <row r="9" spans="1:3" x14ac:dyDescent="0.25">
      <c r="A9" s="190"/>
      <c r="B9" s="190"/>
      <c r="C9" s="190"/>
    </row>
    <row r="10" spans="1:3" x14ac:dyDescent="0.25">
      <c r="A10" s="313" t="s">
        <v>222</v>
      </c>
      <c r="B10" s="313"/>
      <c r="C10" s="191">
        <f>+'HOJA 6'!$B$16</f>
        <v>46111671.881311551</v>
      </c>
    </row>
    <row r="11" spans="1:3" x14ac:dyDescent="0.25">
      <c r="A11" s="190"/>
      <c r="B11" s="190"/>
      <c r="C11" s="190"/>
    </row>
    <row r="12" spans="1:3" x14ac:dyDescent="0.25">
      <c r="A12" s="313" t="s">
        <v>284</v>
      </c>
      <c r="B12" s="313"/>
      <c r="C12" s="192">
        <f>+'HOJA 6'!$B$6</f>
        <v>615</v>
      </c>
    </row>
    <row r="13" spans="1:3" x14ac:dyDescent="0.25">
      <c r="A13" s="190"/>
      <c r="B13" s="190"/>
      <c r="C13" s="190"/>
    </row>
    <row r="14" spans="1:3" x14ac:dyDescent="0.25">
      <c r="A14" s="313" t="s">
        <v>285</v>
      </c>
      <c r="B14" s="313"/>
      <c r="C14" s="191">
        <f>+'HOJA 6'!$B$28</f>
        <v>47793338.558276594</v>
      </c>
    </row>
    <row r="15" spans="1:3" x14ac:dyDescent="0.25">
      <c r="A15" s="190"/>
      <c r="B15" s="190"/>
      <c r="C15" s="190"/>
    </row>
    <row r="16" spans="1:3" x14ac:dyDescent="0.25">
      <c r="A16" s="313" t="s">
        <v>286</v>
      </c>
      <c r="B16" s="313"/>
      <c r="C16" s="191">
        <f>+'HOJA 6'!$B$32</f>
        <v>77713</v>
      </c>
    </row>
    <row r="17" spans="1:5" x14ac:dyDescent="0.25">
      <c r="A17" s="190"/>
      <c r="B17" s="190"/>
      <c r="C17" s="190"/>
    </row>
    <row r="18" spans="1:5" x14ac:dyDescent="0.25">
      <c r="A18" s="190"/>
      <c r="B18" s="190"/>
      <c r="C18" s="190"/>
    </row>
    <row r="19" spans="1:5" x14ac:dyDescent="0.25">
      <c r="A19" s="190"/>
      <c r="B19" s="190"/>
      <c r="C19" s="190"/>
    </row>
    <row r="25" spans="1:5" ht="20.25" x14ac:dyDescent="0.3">
      <c r="E25" s="196" t="s">
        <v>290</v>
      </c>
    </row>
    <row r="26" spans="1:5" ht="20.25" x14ac:dyDescent="0.3">
      <c r="E26" s="196"/>
    </row>
    <row r="27" spans="1:5" ht="20.25" x14ac:dyDescent="0.3">
      <c r="E27" s="196"/>
    </row>
    <row r="28" spans="1:5" ht="20.25" x14ac:dyDescent="0.3">
      <c r="E28" s="196" t="s">
        <v>291</v>
      </c>
    </row>
    <row r="29" spans="1:5" ht="20.25" x14ac:dyDescent="0.3">
      <c r="E29" s="196"/>
    </row>
  </sheetData>
  <mergeCells count="6">
    <mergeCell ref="A16:B16"/>
    <mergeCell ref="A6:B6"/>
    <mergeCell ref="A8:B8"/>
    <mergeCell ref="A10:B10"/>
    <mergeCell ref="A12:B12"/>
    <mergeCell ref="A14:B14"/>
  </mergeCells>
  <pageMargins left="0.7" right="0.7" top="0.75" bottom="0.75" header="0.3" footer="0.3"/>
  <pageSetup paperSize="9" orientation="portrait" horizontalDpi="0" verticalDpi="0" r:id="rId1"/>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36"/>
  <sheetViews>
    <sheetView workbookViewId="0">
      <selection activeCell="B13" sqref="B13"/>
    </sheetView>
  </sheetViews>
  <sheetFormatPr baseColWidth="10" defaultRowHeight="15" x14ac:dyDescent="0.2"/>
  <cols>
    <col min="1" max="1" width="39.85546875" style="197" customWidth="1"/>
    <col min="2" max="2" width="14.5703125" style="197" customWidth="1"/>
    <col min="3" max="3" width="16" style="197" customWidth="1"/>
    <col min="4" max="4" width="15.7109375" style="197" customWidth="1"/>
    <col min="5" max="8" width="11.42578125" style="197"/>
    <col min="9" max="9" width="16.5703125" style="197" customWidth="1"/>
    <col min="10" max="10" width="12.7109375" style="197" bestFit="1" customWidth="1"/>
    <col min="11" max="16384" width="11.42578125" style="197"/>
  </cols>
  <sheetData>
    <row r="1" spans="1:4" ht="20.25" x14ac:dyDescent="0.3">
      <c r="A1" s="319" t="s">
        <v>299</v>
      </c>
      <c r="B1" s="319"/>
      <c r="C1" s="319"/>
      <c r="D1" s="319"/>
    </row>
    <row r="2" spans="1:4" s="198" customFormat="1" ht="30" x14ac:dyDescent="0.25">
      <c r="A2" s="215" t="s">
        <v>292</v>
      </c>
      <c r="B2" s="215" t="s">
        <v>293</v>
      </c>
      <c r="C2" s="215" t="s">
        <v>110</v>
      </c>
      <c r="D2" s="215" t="s">
        <v>294</v>
      </c>
    </row>
    <row r="3" spans="1:4" x14ac:dyDescent="0.2">
      <c r="A3" s="216" t="s">
        <v>295</v>
      </c>
      <c r="B3" s="216"/>
      <c r="C3" s="216"/>
      <c r="D3" s="216"/>
    </row>
    <row r="4" spans="1:4" x14ac:dyDescent="0.2">
      <c r="A4" s="216" t="s">
        <v>296</v>
      </c>
      <c r="B4" s="217">
        <v>3</v>
      </c>
      <c r="C4" s="217">
        <f>('HOJA 5'!B6)/12</f>
        <v>837381.03023999988</v>
      </c>
      <c r="D4" s="217">
        <f t="shared" ref="D4:D9" si="0">B4*C4</f>
        <v>2512143.0907199997</v>
      </c>
    </row>
    <row r="5" spans="1:4" x14ac:dyDescent="0.2">
      <c r="A5" s="216" t="s">
        <v>297</v>
      </c>
      <c r="B5" s="217">
        <v>3</v>
      </c>
      <c r="C5" s="217">
        <f>('HOJA 5'!B18)/12</f>
        <v>1031018.0833333334</v>
      </c>
      <c r="D5" s="217">
        <f t="shared" si="0"/>
        <v>3093054.25</v>
      </c>
    </row>
    <row r="6" spans="1:4" x14ac:dyDescent="0.2">
      <c r="A6" s="216" t="s">
        <v>298</v>
      </c>
      <c r="B6" s="217">
        <v>3</v>
      </c>
      <c r="C6" s="217">
        <f>('HOJA 5'!B32)/12</f>
        <v>819738.15</v>
      </c>
      <c r="D6" s="217">
        <f t="shared" si="0"/>
        <v>2459214.4500000002</v>
      </c>
    </row>
    <row r="7" spans="1:4" x14ac:dyDescent="0.2">
      <c r="A7" s="216" t="s">
        <v>300</v>
      </c>
      <c r="B7" s="217">
        <v>6</v>
      </c>
      <c r="C7" s="217">
        <f>('HOJA 5'!B11+'HOJA 5'!B23)/12</f>
        <v>300000</v>
      </c>
      <c r="D7" s="217">
        <f t="shared" si="0"/>
        <v>1800000</v>
      </c>
    </row>
    <row r="8" spans="1:4" x14ac:dyDescent="0.2">
      <c r="A8" s="216" t="s">
        <v>301</v>
      </c>
      <c r="B8" s="217">
        <v>6</v>
      </c>
      <c r="C8" s="217">
        <f>('HOJA 5'!B13+'HOJA 5'!B21+'HOJA 5'!B39)/12</f>
        <v>350000</v>
      </c>
      <c r="D8" s="217">
        <f t="shared" si="0"/>
        <v>2100000</v>
      </c>
    </row>
    <row r="9" spans="1:4" x14ac:dyDescent="0.2">
      <c r="A9" s="216" t="s">
        <v>302</v>
      </c>
      <c r="B9" s="217">
        <v>12</v>
      </c>
      <c r="C9" s="217">
        <f>('HOJA 5'!B24)/12</f>
        <v>60000</v>
      </c>
      <c r="D9" s="217">
        <f t="shared" si="0"/>
        <v>720000</v>
      </c>
    </row>
    <row r="10" spans="1:4" ht="35.25" customHeight="1" x14ac:dyDescent="0.2">
      <c r="A10" s="218" t="s">
        <v>303</v>
      </c>
      <c r="B10" s="217">
        <v>12</v>
      </c>
      <c r="C10" s="217">
        <f>('HOJA 5'!B7+'HOJA 5'!B19)/12</f>
        <v>65458.333333333336</v>
      </c>
      <c r="D10" s="217">
        <f t="shared" ref="D10:D12" si="1">B10*C10</f>
        <v>785500</v>
      </c>
    </row>
    <row r="11" spans="1:4" x14ac:dyDescent="0.2">
      <c r="A11" s="223" t="s">
        <v>305</v>
      </c>
      <c r="B11" s="220"/>
      <c r="C11" s="220"/>
      <c r="D11" s="220">
        <f>SUM(D4:D10)</f>
        <v>13469911.790720001</v>
      </c>
    </row>
    <row r="12" spans="1:4" x14ac:dyDescent="0.2">
      <c r="A12" s="225" t="s">
        <v>304</v>
      </c>
      <c r="B12" s="226">
        <v>2</v>
      </c>
      <c r="C12" s="226">
        <f>'HOJA 5'!B5/12</f>
        <v>5816632.7529999996</v>
      </c>
      <c r="D12" s="226">
        <f t="shared" si="1"/>
        <v>11633265.505999999</v>
      </c>
    </row>
    <row r="13" spans="1:4" x14ac:dyDescent="0.2">
      <c r="A13" s="219" t="s">
        <v>306</v>
      </c>
      <c r="B13" s="220"/>
      <c r="C13" s="220"/>
      <c r="D13" s="220">
        <f>ACTIVOS!D47</f>
        <v>10876622</v>
      </c>
    </row>
    <row r="14" spans="1:4" x14ac:dyDescent="0.2">
      <c r="A14" s="219" t="s">
        <v>307</v>
      </c>
      <c r="B14" s="220"/>
      <c r="C14" s="220"/>
      <c r="D14" s="220">
        <f>ACTIVOS!B75</f>
        <v>9422400</v>
      </c>
    </row>
    <row r="15" spans="1:4" ht="15.75" x14ac:dyDescent="0.25">
      <c r="A15" s="221" t="s">
        <v>340</v>
      </c>
      <c r="B15" s="222"/>
      <c r="C15" s="222"/>
      <c r="D15" s="222">
        <f>D11+D12+D13+D14</f>
        <v>45402199.296719998</v>
      </c>
    </row>
    <row r="16" spans="1:4" x14ac:dyDescent="0.2">
      <c r="B16" s="199"/>
      <c r="C16" s="199"/>
      <c r="D16" s="199"/>
    </row>
    <row r="17" spans="1:11" x14ac:dyDescent="0.2">
      <c r="A17" s="318" t="s">
        <v>341</v>
      </c>
      <c r="B17" s="318"/>
      <c r="C17" s="224"/>
      <c r="D17" s="224"/>
    </row>
    <row r="18" spans="1:11" x14ac:dyDescent="0.2">
      <c r="A18" s="197" t="s">
        <v>342</v>
      </c>
    </row>
    <row r="19" spans="1:11" x14ac:dyDescent="0.2">
      <c r="A19" s="197" t="s">
        <v>346</v>
      </c>
      <c r="F19" s="318" t="s">
        <v>355</v>
      </c>
      <c r="G19" s="318"/>
      <c r="H19" s="318"/>
      <c r="I19" s="318"/>
    </row>
    <row r="20" spans="1:11" x14ac:dyDescent="0.2">
      <c r="A20" s="197" t="s">
        <v>343</v>
      </c>
      <c r="B20" s="199">
        <f>D11</f>
        <v>13469911.790720001</v>
      </c>
      <c r="F20" s="317" t="s">
        <v>351</v>
      </c>
      <c r="G20" s="317"/>
      <c r="H20" s="317"/>
      <c r="I20" s="199">
        <v>12000000</v>
      </c>
    </row>
    <row r="21" spans="1:11" x14ac:dyDescent="0.2">
      <c r="A21" s="197" t="s">
        <v>344</v>
      </c>
      <c r="B21" s="199">
        <f>D12</f>
        <v>11633265.505999999</v>
      </c>
      <c r="F21" s="317" t="s">
        <v>352</v>
      </c>
      <c r="G21" s="317"/>
      <c r="H21" s="317"/>
      <c r="I21" s="227">
        <v>0.21</v>
      </c>
    </row>
    <row r="22" spans="1:11" ht="15.75" x14ac:dyDescent="0.25">
      <c r="A22" s="232" t="s">
        <v>345</v>
      </c>
      <c r="B22" s="233">
        <f>B20+B21</f>
        <v>25103177.296719998</v>
      </c>
      <c r="F22" s="317" t="s">
        <v>353</v>
      </c>
      <c r="G22" s="317"/>
      <c r="H22" s="317"/>
      <c r="I22" s="199">
        <v>5</v>
      </c>
    </row>
    <row r="23" spans="1:11" x14ac:dyDescent="0.2">
      <c r="A23" s="197" t="s">
        <v>306</v>
      </c>
      <c r="F23" s="317" t="s">
        <v>354</v>
      </c>
      <c r="G23" s="317"/>
      <c r="H23" s="317"/>
      <c r="I23" s="199">
        <f>PMT(I21,I22,-I20)</f>
        <v>4101183.9510392919</v>
      </c>
    </row>
    <row r="24" spans="1:11" x14ac:dyDescent="0.2">
      <c r="A24" s="197" t="s">
        <v>347</v>
      </c>
      <c r="B24" s="199">
        <f>D13</f>
        <v>10876622</v>
      </c>
      <c r="I24" s="199"/>
    </row>
    <row r="25" spans="1:11" ht="24" customHeight="1" x14ac:dyDescent="0.2">
      <c r="A25" s="197" t="s">
        <v>307</v>
      </c>
      <c r="F25" s="316" t="s">
        <v>350</v>
      </c>
      <c r="G25" s="316"/>
      <c r="H25" s="316"/>
      <c r="I25" s="316"/>
      <c r="J25" s="316"/>
    </row>
    <row r="26" spans="1:11" ht="25.5" customHeight="1" x14ac:dyDescent="0.2">
      <c r="A26" s="197" t="s">
        <v>348</v>
      </c>
      <c r="B26" s="199">
        <f>D14</f>
        <v>9422400</v>
      </c>
      <c r="F26" s="314" t="s">
        <v>356</v>
      </c>
      <c r="G26" s="314" t="s">
        <v>357</v>
      </c>
      <c r="H26" s="229" t="s">
        <v>358</v>
      </c>
      <c r="I26" s="314" t="s">
        <v>359</v>
      </c>
      <c r="J26" s="314" t="s">
        <v>360</v>
      </c>
      <c r="K26" s="228"/>
    </row>
    <row r="27" spans="1:11" ht="16.5" thickBot="1" x14ac:dyDescent="0.3">
      <c r="A27" s="232" t="s">
        <v>349</v>
      </c>
      <c r="B27" s="235">
        <f>B22+B24+B26</f>
        <v>45402199.296719998</v>
      </c>
      <c r="F27" s="315"/>
      <c r="G27" s="315"/>
      <c r="H27" s="231">
        <f>I21</f>
        <v>0.21</v>
      </c>
      <c r="I27" s="315"/>
      <c r="J27" s="315"/>
    </row>
    <row r="28" spans="1:11" ht="15.75" thickTop="1" x14ac:dyDescent="0.2">
      <c r="A28" s="197" t="s">
        <v>361</v>
      </c>
      <c r="F28" s="230">
        <v>0</v>
      </c>
      <c r="G28" s="216"/>
      <c r="H28" s="216"/>
      <c r="I28" s="216"/>
      <c r="J28" s="217">
        <f>I20</f>
        <v>12000000</v>
      </c>
    </row>
    <row r="29" spans="1:11" x14ac:dyDescent="0.2">
      <c r="A29" s="197" t="s">
        <v>362</v>
      </c>
      <c r="F29" s="230">
        <v>1</v>
      </c>
      <c r="G29" s="217">
        <f>$I$23</f>
        <v>4101183.9510392919</v>
      </c>
      <c r="H29" s="217">
        <f>J28*$H$27</f>
        <v>2520000</v>
      </c>
      <c r="I29" s="217">
        <f>G29-H29</f>
        <v>1581183.9510392919</v>
      </c>
      <c r="J29" s="217">
        <f>J28-I29</f>
        <v>10418816.048960708</v>
      </c>
    </row>
    <row r="30" spans="1:11" x14ac:dyDescent="0.2">
      <c r="A30" s="197" t="s">
        <v>363</v>
      </c>
      <c r="B30" s="199">
        <f>I20</f>
        <v>12000000</v>
      </c>
      <c r="F30" s="230">
        <v>2</v>
      </c>
      <c r="G30" s="217">
        <f t="shared" ref="G30:G33" si="2">$I$23</f>
        <v>4101183.9510392919</v>
      </c>
      <c r="H30" s="217">
        <f t="shared" ref="H30:H33" si="3">J29*$H$27</f>
        <v>2187951.3702817485</v>
      </c>
      <c r="I30" s="217">
        <f t="shared" ref="I30:I33" si="4">G30-H30</f>
        <v>1913232.5807575434</v>
      </c>
      <c r="J30" s="217">
        <f t="shared" ref="J30:J33" si="5">J29-I30</f>
        <v>8505583.4682031646</v>
      </c>
    </row>
    <row r="31" spans="1:11" x14ac:dyDescent="0.2">
      <c r="A31" s="197" t="s">
        <v>364</v>
      </c>
      <c r="B31" s="234">
        <f>B30</f>
        <v>12000000</v>
      </c>
      <c r="F31" s="230">
        <v>3</v>
      </c>
      <c r="G31" s="217">
        <f t="shared" si="2"/>
        <v>4101183.9510392919</v>
      </c>
      <c r="H31" s="217">
        <f t="shared" si="3"/>
        <v>1786172.5283226646</v>
      </c>
      <c r="I31" s="217">
        <f t="shared" si="4"/>
        <v>2315011.4227166274</v>
      </c>
      <c r="J31" s="217">
        <f t="shared" si="5"/>
        <v>6190572.0454865377</v>
      </c>
    </row>
    <row r="32" spans="1:11" x14ac:dyDescent="0.2">
      <c r="A32" s="197" t="s">
        <v>365</v>
      </c>
      <c r="F32" s="230">
        <v>4</v>
      </c>
      <c r="G32" s="217">
        <f t="shared" si="2"/>
        <v>4101183.9510392919</v>
      </c>
      <c r="H32" s="217">
        <f t="shared" si="3"/>
        <v>1300020.129552173</v>
      </c>
      <c r="I32" s="217">
        <f t="shared" si="4"/>
        <v>2801163.821487119</v>
      </c>
      <c r="J32" s="217">
        <f t="shared" si="5"/>
        <v>3389408.2239994188</v>
      </c>
    </row>
    <row r="33" spans="1:10" x14ac:dyDescent="0.2">
      <c r="A33" s="197" t="s">
        <v>366</v>
      </c>
      <c r="B33" s="199">
        <f>B27-B31</f>
        <v>33402199.296719998</v>
      </c>
      <c r="F33" s="230">
        <v>5</v>
      </c>
      <c r="G33" s="217">
        <f t="shared" si="2"/>
        <v>4101183.9510392919</v>
      </c>
      <c r="H33" s="217">
        <f t="shared" si="3"/>
        <v>711775.72703987791</v>
      </c>
      <c r="I33" s="217">
        <f t="shared" si="4"/>
        <v>3389408.2239994141</v>
      </c>
      <c r="J33" s="217">
        <f t="shared" si="5"/>
        <v>4.6566128730773926E-9</v>
      </c>
    </row>
    <row r="34" spans="1:10" x14ac:dyDescent="0.2">
      <c r="A34" s="197" t="s">
        <v>367</v>
      </c>
      <c r="B34" s="234">
        <f>B33</f>
        <v>33402199.296719998</v>
      </c>
    </row>
    <row r="35" spans="1:10" ht="16.5" thickBot="1" x14ac:dyDescent="0.3">
      <c r="A35" s="232" t="s">
        <v>368</v>
      </c>
      <c r="B35" s="235">
        <f>B31+B34</f>
        <v>45402199.296719998</v>
      </c>
    </row>
    <row r="36" spans="1:10" ht="15.75" thickTop="1" x14ac:dyDescent="0.2"/>
  </sheetData>
  <mergeCells count="12">
    <mergeCell ref="A1:D1"/>
    <mergeCell ref="A17:B17"/>
    <mergeCell ref="F20:H20"/>
    <mergeCell ref="F21:H21"/>
    <mergeCell ref="J26:J27"/>
    <mergeCell ref="F25:J25"/>
    <mergeCell ref="F22:H22"/>
    <mergeCell ref="F23:H23"/>
    <mergeCell ref="F19:I19"/>
    <mergeCell ref="F26:F27"/>
    <mergeCell ref="G26:G27"/>
    <mergeCell ref="I26:I27"/>
  </mergeCells>
  <pageMargins left="0.7" right="0.7" top="0.75" bottom="0.75" header="0.3" footer="0.3"/>
  <legacy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3"/>
  <sheetViews>
    <sheetView workbookViewId="0">
      <selection activeCell="E6" sqref="E6:E7"/>
    </sheetView>
  </sheetViews>
  <sheetFormatPr baseColWidth="10" defaultRowHeight="15" x14ac:dyDescent="0.25"/>
  <cols>
    <col min="1" max="1" width="23.28515625" customWidth="1"/>
  </cols>
  <sheetData>
    <row r="1" spans="1:11" x14ac:dyDescent="0.25">
      <c r="A1" s="320" t="s">
        <v>369</v>
      </c>
      <c r="B1" s="320"/>
      <c r="C1" s="320"/>
      <c r="D1" s="320"/>
      <c r="E1" s="320"/>
      <c r="F1" s="320"/>
      <c r="G1" s="320"/>
      <c r="H1" s="320"/>
      <c r="I1" s="320"/>
      <c r="J1" s="320"/>
      <c r="K1" s="320"/>
    </row>
    <row r="2" spans="1:11" x14ac:dyDescent="0.25">
      <c r="A2" s="321" t="s">
        <v>215</v>
      </c>
      <c r="B2" s="320" t="s">
        <v>2</v>
      </c>
      <c r="C2" s="320"/>
      <c r="D2" s="320" t="s">
        <v>3</v>
      </c>
      <c r="E2" s="320"/>
      <c r="F2" s="320" t="s">
        <v>4</v>
      </c>
      <c r="G2" s="320"/>
      <c r="H2" s="320" t="s">
        <v>5</v>
      </c>
      <c r="I2" s="320"/>
      <c r="J2" s="320" t="s">
        <v>6</v>
      </c>
      <c r="K2" s="320"/>
    </row>
    <row r="3" spans="1:11" x14ac:dyDescent="0.25">
      <c r="A3" s="321"/>
      <c r="B3" s="236" t="s">
        <v>370</v>
      </c>
      <c r="C3" s="236" t="s">
        <v>371</v>
      </c>
      <c r="D3" s="236" t="s">
        <v>370</v>
      </c>
      <c r="E3" s="236" t="s">
        <v>371</v>
      </c>
      <c r="F3" s="236" t="s">
        <v>370</v>
      </c>
      <c r="G3" s="236" t="s">
        <v>371</v>
      </c>
      <c r="H3" s="236" t="s">
        <v>370</v>
      </c>
      <c r="I3" s="236" t="s">
        <v>371</v>
      </c>
      <c r="J3" s="236" t="s">
        <v>370</v>
      </c>
      <c r="K3" s="236" t="s">
        <v>371</v>
      </c>
    </row>
    <row r="4" spans="1:11" x14ac:dyDescent="0.25">
      <c r="A4" t="s">
        <v>379</v>
      </c>
      <c r="B4" s="188">
        <f>C5</f>
        <v>149110920</v>
      </c>
    </row>
    <row r="5" spans="1:11" x14ac:dyDescent="0.25">
      <c r="A5" t="s">
        <v>380</v>
      </c>
      <c r="C5" s="188">
        <f>'HOJA 5'!D50</f>
        <v>149110920</v>
      </c>
    </row>
    <row r="6" spans="1:11" x14ac:dyDescent="0.25">
      <c r="A6" s="248" t="s">
        <v>381</v>
      </c>
    </row>
    <row r="7" spans="1:11" x14ac:dyDescent="0.25">
      <c r="A7" t="s">
        <v>343</v>
      </c>
      <c r="B7" s="188">
        <f>C5</f>
        <v>149110920</v>
      </c>
    </row>
    <row r="8" spans="1:11" x14ac:dyDescent="0.25">
      <c r="A8" t="s">
        <v>382</v>
      </c>
      <c r="C8" s="188">
        <f>C5</f>
        <v>149110920</v>
      </c>
    </row>
    <row r="9" spans="1:11" x14ac:dyDescent="0.25">
      <c r="A9" s="248" t="s">
        <v>383</v>
      </c>
    </row>
    <row r="10" spans="1:11" x14ac:dyDescent="0.25">
      <c r="A10" t="s">
        <v>384</v>
      </c>
      <c r="B10" s="188">
        <f>'HOJA 5'!B16</f>
        <v>86288432.038880005</v>
      </c>
    </row>
    <row r="11" spans="1:11" x14ac:dyDescent="0.25">
      <c r="A11" t="s">
        <v>186</v>
      </c>
      <c r="C11" s="188">
        <f>'HOJA 5'!B10</f>
        <v>616012.19999999995</v>
      </c>
    </row>
    <row r="12" spans="1:11" x14ac:dyDescent="0.25">
      <c r="A12" t="s">
        <v>190</v>
      </c>
      <c r="C12" s="188">
        <f>'HOJA 5'!B14</f>
        <v>753792</v>
      </c>
    </row>
    <row r="13" spans="1:11" x14ac:dyDescent="0.25">
      <c r="A13" t="s">
        <v>343</v>
      </c>
      <c r="C13" s="188">
        <f>B10-C11-C12</f>
        <v>84918627.838880002</v>
      </c>
    </row>
    <row r="14" spans="1:11" x14ac:dyDescent="0.25">
      <c r="A14" s="248" t="s">
        <v>390</v>
      </c>
    </row>
    <row r="15" spans="1:11" x14ac:dyDescent="0.25">
      <c r="A15" t="s">
        <v>386</v>
      </c>
      <c r="B15" s="188">
        <f>'HOJA 5'!B30</f>
        <v>23276461</v>
      </c>
    </row>
    <row r="16" spans="1:11" x14ac:dyDescent="0.25">
      <c r="A16" t="s">
        <v>186</v>
      </c>
      <c r="C16" s="188">
        <f>'HOJA 5'!B25</f>
        <v>898400</v>
      </c>
    </row>
    <row r="17" spans="1:3" x14ac:dyDescent="0.25">
      <c r="A17" t="s">
        <v>190</v>
      </c>
      <c r="C17" s="188">
        <f>'HOJA 5'!B26</f>
        <v>565344</v>
      </c>
    </row>
    <row r="18" spans="1:3" x14ac:dyDescent="0.25">
      <c r="A18" t="s">
        <v>343</v>
      </c>
      <c r="C18" s="188">
        <f>B15-C16-C17</f>
        <v>21812717</v>
      </c>
    </row>
    <row r="19" spans="1:3" x14ac:dyDescent="0.25">
      <c r="A19" s="248" t="s">
        <v>388</v>
      </c>
    </row>
    <row r="20" spans="1:3" x14ac:dyDescent="0.25">
      <c r="A20" t="s">
        <v>387</v>
      </c>
      <c r="B20" s="188">
        <f>'HOJA 5'!B40</f>
        <v>23329541.800000001</v>
      </c>
    </row>
    <row r="21" spans="1:3" x14ac:dyDescent="0.25">
      <c r="A21" t="s">
        <v>190</v>
      </c>
      <c r="C21" s="188">
        <f>'HOJA 5'!B36</f>
        <v>565344</v>
      </c>
    </row>
    <row r="22" spans="1:3" x14ac:dyDescent="0.25">
      <c r="A22" t="s">
        <v>343</v>
      </c>
      <c r="C22" s="188">
        <f>B20-C21</f>
        <v>22764197.800000001</v>
      </c>
    </row>
    <row r="23" spans="1:3" x14ac:dyDescent="0.25">
      <c r="A23" s="248" t="s">
        <v>389</v>
      </c>
    </row>
    <row r="24" spans="1:3" x14ac:dyDescent="0.25">
      <c r="A24" s="249" t="s">
        <v>391</v>
      </c>
      <c r="B24" s="188">
        <f>Hoja8!I29</f>
        <v>1581183.9510392919</v>
      </c>
    </row>
    <row r="25" spans="1:3" ht="30" x14ac:dyDescent="0.25">
      <c r="A25" s="250" t="s">
        <v>392</v>
      </c>
      <c r="B25" s="188">
        <f>Hoja8!H29</f>
        <v>2520000</v>
      </c>
    </row>
    <row r="26" spans="1:3" x14ac:dyDescent="0.25">
      <c r="A26" s="249" t="s">
        <v>393</v>
      </c>
      <c r="C26" s="188">
        <f>B24+B25</f>
        <v>4101183.9510392919</v>
      </c>
    </row>
    <row r="27" spans="1:3" x14ac:dyDescent="0.25">
      <c r="A27" s="248" t="s">
        <v>394</v>
      </c>
    </row>
    <row r="29" spans="1:3" x14ac:dyDescent="0.25">
      <c r="A29" s="251" t="s">
        <v>385</v>
      </c>
      <c r="B29" s="252">
        <f>SUM(B4:B28)</f>
        <v>435217458.78991932</v>
      </c>
      <c r="C29" s="252">
        <f>SUM(C4:C28)</f>
        <v>435217458.78991932</v>
      </c>
    </row>
    <row r="30" spans="1:3" ht="18.75" customHeight="1" x14ac:dyDescent="0.25">
      <c r="A30" s="320" t="s">
        <v>395</v>
      </c>
      <c r="B30" s="320"/>
      <c r="C30" s="320"/>
    </row>
    <row r="31" spans="1:3" ht="18.75" customHeight="1" x14ac:dyDescent="0.25">
      <c r="A31" s="1" t="s">
        <v>400</v>
      </c>
      <c r="B31" s="1" t="s">
        <v>401</v>
      </c>
      <c r="C31" s="1" t="s">
        <v>402</v>
      </c>
    </row>
    <row r="32" spans="1:3" x14ac:dyDescent="0.25">
      <c r="A32" t="s">
        <v>379</v>
      </c>
      <c r="B32" s="188">
        <f>B4</f>
        <v>149110920</v>
      </c>
      <c r="C32" s="188">
        <f>C8</f>
        <v>149110920</v>
      </c>
    </row>
    <row r="33" spans="1:3" x14ac:dyDescent="0.25">
      <c r="A33" t="s">
        <v>343</v>
      </c>
      <c r="B33" s="188">
        <f>B7</f>
        <v>149110920</v>
      </c>
      <c r="C33" s="188">
        <f>C13+C18+C22+C26</f>
        <v>133596726.5899193</v>
      </c>
    </row>
    <row r="34" spans="1:3" x14ac:dyDescent="0.25">
      <c r="A34" t="s">
        <v>384</v>
      </c>
      <c r="B34" s="188">
        <f>B10</f>
        <v>86288432.038880005</v>
      </c>
      <c r="C34" s="188"/>
    </row>
    <row r="35" spans="1:3" x14ac:dyDescent="0.25">
      <c r="A35" t="s">
        <v>396</v>
      </c>
      <c r="B35" s="188">
        <f>B15</f>
        <v>23276461</v>
      </c>
      <c r="C35" s="188"/>
    </row>
    <row r="36" spans="1:3" x14ac:dyDescent="0.25">
      <c r="A36" t="s">
        <v>387</v>
      </c>
      <c r="B36" s="188">
        <f>B20</f>
        <v>23329541.800000001</v>
      </c>
      <c r="C36" s="188"/>
    </row>
    <row r="37" spans="1:3" x14ac:dyDescent="0.25">
      <c r="A37" t="s">
        <v>397</v>
      </c>
      <c r="B37" s="188">
        <f>B24</f>
        <v>1581183.9510392919</v>
      </c>
      <c r="C37" s="188"/>
    </row>
    <row r="38" spans="1:3" x14ac:dyDescent="0.25">
      <c r="A38" t="s">
        <v>213</v>
      </c>
      <c r="B38" s="188">
        <f>B25</f>
        <v>2520000</v>
      </c>
      <c r="C38" s="188"/>
    </row>
    <row r="39" spans="1:3" x14ac:dyDescent="0.25">
      <c r="A39" t="s">
        <v>380</v>
      </c>
      <c r="B39" s="188"/>
      <c r="C39" s="188">
        <f>C5</f>
        <v>149110920</v>
      </c>
    </row>
    <row r="40" spans="1:3" x14ac:dyDescent="0.25">
      <c r="A40" t="s">
        <v>398</v>
      </c>
      <c r="B40" s="188"/>
      <c r="C40" s="188">
        <f>C11+C16</f>
        <v>1514412.2</v>
      </c>
    </row>
    <row r="41" spans="1:3" x14ac:dyDescent="0.25">
      <c r="A41" t="s">
        <v>399</v>
      </c>
      <c r="B41" s="188"/>
      <c r="C41" s="188">
        <f>C12+C17+C21</f>
        <v>1884480</v>
      </c>
    </row>
    <row r="42" spans="1:3" x14ac:dyDescent="0.25">
      <c r="B42" s="188"/>
      <c r="C42" s="188"/>
    </row>
    <row r="43" spans="1:3" x14ac:dyDescent="0.25">
      <c r="A43" t="s">
        <v>385</v>
      </c>
      <c r="B43" s="188">
        <f>SUM(B32:B42)</f>
        <v>435217458.78991932</v>
      </c>
      <c r="C43" s="188">
        <f>SUM(C32:C42)</f>
        <v>435217458.78991932</v>
      </c>
    </row>
  </sheetData>
  <mergeCells count="8">
    <mergeCell ref="A30:C30"/>
    <mergeCell ref="A1:K1"/>
    <mergeCell ref="B2:C2"/>
    <mergeCell ref="D2:E2"/>
    <mergeCell ref="F2:G2"/>
    <mergeCell ref="H2:I2"/>
    <mergeCell ref="J2:K2"/>
    <mergeCell ref="A2:A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13</vt:i4>
      </vt:variant>
    </vt:vector>
  </HeadingPairs>
  <TitlesOfParts>
    <vt:vector size="13" baseType="lpstr">
      <vt:lpstr>BASES DE CALCULO</vt:lpstr>
      <vt:lpstr>COSTOS DE PRODUCCION</vt:lpstr>
      <vt:lpstr>MANO DE OBRA</vt:lpstr>
      <vt:lpstr>ACTIVOS</vt:lpstr>
      <vt:lpstr>HOJA 5</vt:lpstr>
      <vt:lpstr>HOJA 6</vt:lpstr>
      <vt:lpstr>Hoja 7</vt:lpstr>
      <vt:lpstr>Hoja8</vt:lpstr>
      <vt:lpstr>Hoja 9</vt:lpstr>
      <vt:lpstr>Hoja 10</vt:lpstr>
      <vt:lpstr>Hoja 11</vt:lpstr>
      <vt:lpstr>Hoja 12</vt:lpstr>
      <vt:lpstr>Hoja 13</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FCCEA</dc:creator>
  <cp:lastModifiedBy>MarthaLucia</cp:lastModifiedBy>
  <dcterms:created xsi:type="dcterms:W3CDTF">2014-09-21T01:23:10Z</dcterms:created>
  <dcterms:modified xsi:type="dcterms:W3CDTF">2014-11-08T17:17:13Z</dcterms:modified>
</cp:coreProperties>
</file>